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 codeName="ThisWorkbook" defaultThemeVersion="124226"/>
  <xr:revisionPtr revIDLastSave="0" documentId="8_{E70DD832-4F66-4454-9534-B3969C3039D9}" xr6:coauthVersionLast="47" xr6:coauthVersionMax="47" xr10:uidLastSave="{00000000-0000-0000-0000-000000000000}"/>
  <workbookProtection workbookAlgorithmName="SHA-512" workbookHashValue="8WEfHsQvY7GjM7v6va/3alj9pUfifPwUVAjxPJBb7SV0Prw0aLyFopGZUQJJcURUuSy9Jk2Y2wj6k0je9iOoQQ==" workbookSaltValue="vJCnwOxVTZjFipA/XUtUKA==" workbookSpinCount="100000" lockStructure="1"/>
  <bookViews>
    <workbookView xWindow="-120" yWindow="-120" windowWidth="24240" windowHeight="13140" tabRatio="762" xr2:uid="{00000000-000D-0000-FFFF-FFFF00000000}"/>
  </bookViews>
  <sheets>
    <sheet name="صفحه امضا" sheetId="7" r:id="rId1"/>
    <sheet name="ورود اطلاعات" sheetId="3" r:id="rId2"/>
    <sheet name="جدول سنوات بازنشستگی" sheetId="4" r:id="rId3"/>
    <sheet name="Rates" sheetId="1" state="hidden" r:id="rId4"/>
    <sheet name="Offline Table" sheetId="2" state="hidden" r:id="rId5"/>
  </sheets>
  <definedNames>
    <definedName name="_xlnm._FilterDatabase" localSheetId="2" hidden="1">'جدول سنوات بازنشستگی'!$A$5:$AB$5</definedName>
    <definedName name="_xlnm.Print_Area" localSheetId="2">'جدول سنوات بازنشستگی'!$A$1:$AB$35</definedName>
    <definedName name="_xlnm.Print_Area" localSheetId="1">'ورود اطلاعات'!$B$1:$I$26</definedName>
    <definedName name="پرريسک">'ورود اطلاعات'!$K$8</definedName>
    <definedName name="رشد">'ورود اطلاعات'!$M$8</definedName>
    <definedName name="رشد1">'ورود اطلاعات'!$L$8:$L$11</definedName>
    <definedName name="کم_ريسک">'ورود اطلاعات'!$N$8</definedName>
    <definedName name="متوسط_ريسک">'ورود اطلاعات'!$O$8</definedName>
  </definedNames>
  <calcPr calcId="191029"/>
</workbook>
</file>

<file path=xl/calcChain.xml><?xml version="1.0" encoding="utf-8"?>
<calcChain xmlns="http://schemas.openxmlformats.org/spreadsheetml/2006/main">
  <c r="O7" i="1" l="1"/>
  <c r="O6" i="1"/>
  <c r="O5" i="1"/>
  <c r="W19" i="1" l="1"/>
  <c r="W18" i="1"/>
  <c r="W17" i="1"/>
  <c r="W16" i="1"/>
  <c r="W15" i="1"/>
  <c r="N23" i="3" l="1"/>
  <c r="S2" i="2" l="1"/>
  <c r="S5" i="4" s="1"/>
  <c r="W2" i="2"/>
  <c r="V18" i="1" l="1"/>
  <c r="V15" i="1"/>
  <c r="V16" i="1"/>
  <c r="V17" i="1"/>
  <c r="V19" i="1"/>
  <c r="P6" i="1" l="1"/>
  <c r="R15" i="1" l="1"/>
  <c r="S15" i="1"/>
  <c r="T15" i="1"/>
  <c r="U15" i="1"/>
  <c r="R16" i="1"/>
  <c r="S16" i="1"/>
  <c r="T16" i="1"/>
  <c r="U16" i="1"/>
  <c r="R17" i="1"/>
  <c r="S17" i="1"/>
  <c r="T17" i="1"/>
  <c r="U17" i="1"/>
  <c r="R18" i="1"/>
  <c r="S18" i="1"/>
  <c r="T18" i="1"/>
  <c r="U18" i="1"/>
  <c r="R19" i="1"/>
  <c r="S19" i="1"/>
  <c r="T19" i="1"/>
  <c r="U19" i="1"/>
  <c r="Q17" i="1"/>
  <c r="Q18" i="1"/>
  <c r="Q19" i="1"/>
  <c r="Q15" i="1"/>
  <c r="R36" i="1" l="1"/>
  <c r="R35" i="1"/>
  <c r="R34" i="1"/>
  <c r="R32" i="1"/>
  <c r="O8" i="1" s="1"/>
  <c r="R33" i="1"/>
  <c r="C2" i="1"/>
  <c r="A4" i="2" l="1"/>
  <c r="A5" i="2" s="1"/>
  <c r="A6" i="2" s="1"/>
  <c r="C3" i="2"/>
  <c r="B3" i="2"/>
  <c r="B6" i="4" s="1"/>
  <c r="F2" i="2"/>
  <c r="D2" i="2"/>
  <c r="C108" i="1"/>
  <c r="D108" i="1" s="1"/>
  <c r="C107" i="1"/>
  <c r="D107" i="1" s="1"/>
  <c r="C106" i="1"/>
  <c r="D106" i="1" s="1"/>
  <c r="C105" i="1"/>
  <c r="D105" i="1" s="1"/>
  <c r="C104" i="1"/>
  <c r="D104" i="1" s="1"/>
  <c r="C103" i="1"/>
  <c r="D103" i="1" s="1"/>
  <c r="C102" i="1"/>
  <c r="D102" i="1" s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A3" i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6" i="4"/>
  <c r="F5" i="4"/>
  <c r="D5" i="4"/>
  <c r="A8" i="4" l="1"/>
  <c r="AA3" i="2"/>
  <c r="AA6" i="4" s="1"/>
  <c r="D3" i="2"/>
  <c r="D6" i="4" s="1"/>
  <c r="C6" i="4"/>
  <c r="A9" i="4"/>
  <c r="A7" i="2"/>
  <c r="A8" i="2" s="1"/>
  <c r="H8" i="2" s="1"/>
  <c r="H11" i="4" s="1"/>
  <c r="C4" i="2"/>
  <c r="A7" i="4"/>
  <c r="Q3" i="2" l="1"/>
  <c r="T3" i="2" s="1"/>
  <c r="R3" i="2"/>
  <c r="E3" i="2"/>
  <c r="E6" i="4" s="1"/>
  <c r="M3" i="2"/>
  <c r="M6" i="4" s="1"/>
  <c r="F3" i="2"/>
  <c r="S3" i="2" s="1"/>
  <c r="C7" i="4"/>
  <c r="G3" i="2"/>
  <c r="G6" i="4" s="1"/>
  <c r="G8" i="2"/>
  <c r="G11" i="4" s="1"/>
  <c r="I3" i="2"/>
  <c r="I6" i="4" s="1"/>
  <c r="A9" i="2"/>
  <c r="H9" i="2" s="1"/>
  <c r="H12" i="4" s="1"/>
  <c r="A11" i="4"/>
  <c r="A10" i="4"/>
  <c r="AA4" i="2"/>
  <c r="AA7" i="4" s="1"/>
  <c r="C5" i="2"/>
  <c r="D4" i="2"/>
  <c r="R4" i="2" s="1"/>
  <c r="G4" i="2"/>
  <c r="G7" i="4" s="1"/>
  <c r="B4" i="2"/>
  <c r="B7" i="4" s="1"/>
  <c r="F6" i="4" l="1"/>
  <c r="W3" i="2"/>
  <c r="W6" i="4" s="1"/>
  <c r="V4" i="2"/>
  <c r="V7" i="4" s="1"/>
  <c r="R7" i="4"/>
  <c r="R6" i="4"/>
  <c r="V3" i="2"/>
  <c r="V6" i="4" s="1"/>
  <c r="G9" i="2"/>
  <c r="G12" i="4" s="1"/>
  <c r="F4" i="2"/>
  <c r="S4" i="2" s="1"/>
  <c r="J3" i="2"/>
  <c r="J6" i="4" s="1"/>
  <c r="Q4" i="2"/>
  <c r="C6" i="2"/>
  <c r="H3" i="2"/>
  <c r="H6" i="4" s="1"/>
  <c r="X3" i="2"/>
  <c r="Q6" i="4"/>
  <c r="U3" i="2"/>
  <c r="AA5" i="2"/>
  <c r="AA8" i="4" s="1"/>
  <c r="E4" i="2"/>
  <c r="E7" i="4" s="1"/>
  <c r="B5" i="2"/>
  <c r="B8" i="4" s="1"/>
  <c r="A10" i="2"/>
  <c r="A13" i="4" s="1"/>
  <c r="C8" i="4"/>
  <c r="A12" i="4"/>
  <c r="G5" i="2"/>
  <c r="G8" i="4" s="1"/>
  <c r="I4" i="2"/>
  <c r="I7" i="4" s="1"/>
  <c r="D5" i="2"/>
  <c r="R5" i="2" s="1"/>
  <c r="M4" i="2"/>
  <c r="M7" i="4" s="1"/>
  <c r="D7" i="4"/>
  <c r="S7" i="4" l="1"/>
  <c r="S6" i="4"/>
  <c r="V5" i="2"/>
  <c r="V8" i="4" s="1"/>
  <c r="R8" i="4"/>
  <c r="H4" i="2"/>
  <c r="H7" i="4" s="1"/>
  <c r="C9" i="4"/>
  <c r="Q7" i="4"/>
  <c r="T4" i="2"/>
  <c r="X4" i="2" s="1"/>
  <c r="X7" i="4" s="1"/>
  <c r="F5" i="2"/>
  <c r="G6" i="2"/>
  <c r="G9" i="4" s="1"/>
  <c r="F7" i="4"/>
  <c r="J4" i="2"/>
  <c r="J7" i="4" s="1"/>
  <c r="U4" i="2"/>
  <c r="U7" i="4" s="1"/>
  <c r="K3" i="2"/>
  <c r="Q5" i="2"/>
  <c r="U5" i="2" s="1"/>
  <c r="U8" i="4" s="1"/>
  <c r="U6" i="4"/>
  <c r="B6" i="2"/>
  <c r="B9" i="4" s="1"/>
  <c r="X6" i="4"/>
  <c r="T6" i="4"/>
  <c r="C7" i="2"/>
  <c r="G10" i="2"/>
  <c r="G13" i="4" s="1"/>
  <c r="AA6" i="2"/>
  <c r="AA9" i="4" s="1"/>
  <c r="A11" i="2"/>
  <c r="G11" i="2" s="1"/>
  <c r="G14" i="4" s="1"/>
  <c r="H10" i="2"/>
  <c r="H13" i="4" s="1"/>
  <c r="D8" i="4"/>
  <c r="E5" i="2"/>
  <c r="E8" i="4" s="1"/>
  <c r="M5" i="2"/>
  <c r="M8" i="4" s="1"/>
  <c r="D6" i="2"/>
  <c r="R6" i="2" s="1"/>
  <c r="I5" i="2"/>
  <c r="I8" i="4" s="1"/>
  <c r="J5" i="2" l="1"/>
  <c r="J8" i="4" s="1"/>
  <c r="S5" i="2"/>
  <c r="F8" i="4"/>
  <c r="H5" i="2"/>
  <c r="H8" i="4" s="1"/>
  <c r="F6" i="2"/>
  <c r="J6" i="2" s="1"/>
  <c r="J9" i="4" s="1"/>
  <c r="V6" i="2"/>
  <c r="V9" i="4" s="1"/>
  <c r="R9" i="4"/>
  <c r="Q8" i="4"/>
  <c r="N3" i="2"/>
  <c r="W4" i="2"/>
  <c r="W7" i="4" s="1"/>
  <c r="G7" i="2"/>
  <c r="G10" i="4" s="1"/>
  <c r="C10" i="4"/>
  <c r="C8" i="2"/>
  <c r="T7" i="4"/>
  <c r="T5" i="2"/>
  <c r="X5" i="2" s="1"/>
  <c r="X8" i="4" s="1"/>
  <c r="K4" i="2"/>
  <c r="K7" i="4" s="1"/>
  <c r="K6" i="4"/>
  <c r="A12" i="2"/>
  <c r="A13" i="2" s="1"/>
  <c r="L3" i="2"/>
  <c r="P3" i="2" s="1"/>
  <c r="P6" i="4" s="1"/>
  <c r="H11" i="2"/>
  <c r="H14" i="4" s="1"/>
  <c r="Q6" i="2"/>
  <c r="A14" i="4"/>
  <c r="AA7" i="2"/>
  <c r="AA10" i="4" s="1"/>
  <c r="Y3" i="2"/>
  <c r="B7" i="2"/>
  <c r="B10" i="4" s="1"/>
  <c r="I6" i="2"/>
  <c r="I9" i="4" s="1"/>
  <c r="M6" i="2"/>
  <c r="M9" i="4" s="1"/>
  <c r="D9" i="4"/>
  <c r="D7" i="2"/>
  <c r="R7" i="2" s="1"/>
  <c r="E6" i="2"/>
  <c r="E9" i="4" s="1"/>
  <c r="O3" i="2" l="1"/>
  <c r="O6" i="4" s="1"/>
  <c r="S6" i="2"/>
  <c r="K5" i="2"/>
  <c r="F7" i="2"/>
  <c r="J7" i="2" s="1"/>
  <c r="J10" i="4" s="1"/>
  <c r="F9" i="4"/>
  <c r="H6" i="2"/>
  <c r="H9" i="4" s="1"/>
  <c r="R10" i="4"/>
  <c r="V7" i="2"/>
  <c r="V10" i="4" s="1"/>
  <c r="AA8" i="2"/>
  <c r="AA11" i="4" s="1"/>
  <c r="C11" i="4"/>
  <c r="C9" i="2"/>
  <c r="C12" i="4" s="1"/>
  <c r="T8" i="4"/>
  <c r="N4" i="2"/>
  <c r="N7" i="4" s="1"/>
  <c r="N6" i="4"/>
  <c r="A15" i="4"/>
  <c r="G12" i="2"/>
  <c r="G15" i="4" s="1"/>
  <c r="Y4" i="2"/>
  <c r="Y7" i="4" s="1"/>
  <c r="W5" i="2"/>
  <c r="W8" i="4" s="1"/>
  <c r="S8" i="4"/>
  <c r="U6" i="2"/>
  <c r="U9" i="4" s="1"/>
  <c r="T6" i="2"/>
  <c r="T9" i="4" s="1"/>
  <c r="L6" i="4"/>
  <c r="H12" i="2"/>
  <c r="H15" i="4" s="1"/>
  <c r="L4" i="2"/>
  <c r="L7" i="4" s="1"/>
  <c r="Q9" i="4"/>
  <c r="B8" i="2"/>
  <c r="B11" i="4" s="1"/>
  <c r="Y6" i="4"/>
  <c r="Z3" i="2"/>
  <c r="M7" i="2"/>
  <c r="M10" i="4" s="1"/>
  <c r="Q7" i="2"/>
  <c r="T7" i="2" s="1"/>
  <c r="K8" i="4"/>
  <c r="F10" i="4"/>
  <c r="I7" i="2"/>
  <c r="I10" i="4" s="1"/>
  <c r="D10" i="4"/>
  <c r="E7" i="2"/>
  <c r="E10" i="4" s="1"/>
  <c r="D8" i="2"/>
  <c r="R8" i="2" s="1"/>
  <c r="G13" i="2"/>
  <c r="G16" i="4" s="1"/>
  <c r="H13" i="2"/>
  <c r="H16" i="4" s="1"/>
  <c r="A16" i="4"/>
  <c r="A14" i="2"/>
  <c r="H7" i="2" l="1"/>
  <c r="H10" i="4" s="1"/>
  <c r="S7" i="2"/>
  <c r="S9" i="4"/>
  <c r="F8" i="2"/>
  <c r="F11" i="4" s="1"/>
  <c r="K6" i="2"/>
  <c r="K9" i="4" s="1"/>
  <c r="N5" i="2"/>
  <c r="O5" i="2" s="1"/>
  <c r="O8" i="4" s="1"/>
  <c r="R11" i="4"/>
  <c r="V8" i="2"/>
  <c r="V11" i="4" s="1"/>
  <c r="C10" i="2"/>
  <c r="AA10" i="2" s="1"/>
  <c r="AA13" i="4" s="1"/>
  <c r="AA9" i="2"/>
  <c r="AA12" i="4" s="1"/>
  <c r="O4" i="2"/>
  <c r="O7" i="4" s="1"/>
  <c r="Y5" i="2"/>
  <c r="Y8" i="4" s="1"/>
  <c r="Z4" i="2"/>
  <c r="Z7" i="4" s="1"/>
  <c r="W6" i="2"/>
  <c r="W9" i="4" s="1"/>
  <c r="X6" i="2"/>
  <c r="X9" i="4" s="1"/>
  <c r="P4" i="2"/>
  <c r="P7" i="4" s="1"/>
  <c r="B9" i="2"/>
  <c r="B12" i="4" s="1"/>
  <c r="L5" i="2"/>
  <c r="L8" i="4" s="1"/>
  <c r="I8" i="2"/>
  <c r="I11" i="4" s="1"/>
  <c r="Q8" i="2"/>
  <c r="T8" i="2" s="1"/>
  <c r="AB3" i="2"/>
  <c r="AB6" i="4" s="1"/>
  <c r="Z6" i="4"/>
  <c r="U7" i="2"/>
  <c r="U10" i="4" s="1"/>
  <c r="Q10" i="4"/>
  <c r="K7" i="2"/>
  <c r="E8" i="2"/>
  <c r="E11" i="4" s="1"/>
  <c r="D11" i="4"/>
  <c r="M8" i="2"/>
  <c r="M11" i="4" s="1"/>
  <c r="D9" i="2"/>
  <c r="R9" i="2" s="1"/>
  <c r="G14" i="2"/>
  <c r="G17" i="4" s="1"/>
  <c r="A15" i="2"/>
  <c r="H14" i="2"/>
  <c r="H17" i="4" s="1"/>
  <c r="A17" i="4"/>
  <c r="L6" i="2" l="1"/>
  <c r="L9" i="4" s="1"/>
  <c r="S8" i="2"/>
  <c r="J8" i="2"/>
  <c r="J11" i="4" s="1"/>
  <c r="F9" i="2"/>
  <c r="F12" i="4" s="1"/>
  <c r="N8" i="4"/>
  <c r="N6" i="2"/>
  <c r="N9" i="4" s="1"/>
  <c r="C13" i="4"/>
  <c r="C11" i="2"/>
  <c r="C12" i="2" s="1"/>
  <c r="V9" i="2"/>
  <c r="V12" i="4" s="1"/>
  <c r="R12" i="4"/>
  <c r="Z5" i="2"/>
  <c r="AB5" i="2" s="1"/>
  <c r="AB8" i="4" s="1"/>
  <c r="AB4" i="2"/>
  <c r="AB7" i="4" s="1"/>
  <c r="W7" i="2"/>
  <c r="W10" i="4" s="1"/>
  <c r="S10" i="4"/>
  <c r="Y6" i="2"/>
  <c r="Y9" i="4" s="1"/>
  <c r="T10" i="4"/>
  <c r="X7" i="2"/>
  <c r="B10" i="2"/>
  <c r="B13" i="4" s="1"/>
  <c r="P5" i="2"/>
  <c r="P8" i="4" s="1"/>
  <c r="K8" i="2"/>
  <c r="K11" i="4" s="1"/>
  <c r="Q9" i="2"/>
  <c r="T9" i="2" s="1"/>
  <c r="X8" i="2"/>
  <c r="U8" i="2"/>
  <c r="Q11" i="4"/>
  <c r="L7" i="2"/>
  <c r="P7" i="2" s="1"/>
  <c r="P10" i="4" s="1"/>
  <c r="K10" i="4"/>
  <c r="D12" i="4"/>
  <c r="D10" i="2"/>
  <c r="R10" i="2" s="1"/>
  <c r="R13" i="4" s="1"/>
  <c r="M9" i="2"/>
  <c r="M12" i="4" s="1"/>
  <c r="I9" i="2"/>
  <c r="E9" i="2"/>
  <c r="E12" i="4" s="1"/>
  <c r="AA11" i="2"/>
  <c r="AA14" i="4" s="1"/>
  <c r="C14" i="4"/>
  <c r="G15" i="2"/>
  <c r="G18" i="4" s="1"/>
  <c r="A18" i="4"/>
  <c r="A16" i="2"/>
  <c r="H15" i="2"/>
  <c r="H18" i="4" s="1"/>
  <c r="P6" i="2" l="1"/>
  <c r="P9" i="4" s="1"/>
  <c r="O6" i="2"/>
  <c r="O9" i="4" s="1"/>
  <c r="J9" i="2"/>
  <c r="J12" i="4" s="1"/>
  <c r="S9" i="2"/>
  <c r="S12" i="4" s="1"/>
  <c r="N7" i="2"/>
  <c r="O7" i="2" s="1"/>
  <c r="O10" i="4" s="1"/>
  <c r="F10" i="2"/>
  <c r="V10" i="2"/>
  <c r="V13" i="4" s="1"/>
  <c r="Z8" i="4"/>
  <c r="Y7" i="2"/>
  <c r="Z7" i="2" s="1"/>
  <c r="B11" i="2"/>
  <c r="B14" i="4" s="1"/>
  <c r="Z6" i="2"/>
  <c r="AB6" i="2" s="1"/>
  <c r="AB9" i="4" s="1"/>
  <c r="W8" i="2"/>
  <c r="W11" i="4" s="1"/>
  <c r="S11" i="4"/>
  <c r="X10" i="4"/>
  <c r="X9" i="2"/>
  <c r="Q12" i="4"/>
  <c r="U9" i="2"/>
  <c r="M10" i="2"/>
  <c r="M13" i="4" s="1"/>
  <c r="Q10" i="2"/>
  <c r="T10" i="2" s="1"/>
  <c r="T11" i="4"/>
  <c r="U11" i="4"/>
  <c r="L10" i="4"/>
  <c r="L8" i="2"/>
  <c r="P8" i="2" s="1"/>
  <c r="P11" i="4" s="1"/>
  <c r="D11" i="2"/>
  <c r="R11" i="2" s="1"/>
  <c r="R14" i="4" s="1"/>
  <c r="I12" i="4"/>
  <c r="I10" i="2"/>
  <c r="I13" i="4" s="1"/>
  <c r="E10" i="2"/>
  <c r="E13" i="4" s="1"/>
  <c r="D13" i="4"/>
  <c r="G16" i="2"/>
  <c r="G19" i="4" s="1"/>
  <c r="A19" i="4"/>
  <c r="A17" i="2"/>
  <c r="H16" i="2"/>
  <c r="H19" i="4" s="1"/>
  <c r="AA12" i="2"/>
  <c r="AA15" i="4" s="1"/>
  <c r="B12" i="2"/>
  <c r="B15" i="4" s="1"/>
  <c r="C13" i="2"/>
  <c r="C15" i="4"/>
  <c r="K9" i="2" l="1"/>
  <c r="N8" i="2"/>
  <c r="O8" i="2" s="1"/>
  <c r="O11" i="4" s="1"/>
  <c r="N10" i="4"/>
  <c r="S10" i="2"/>
  <c r="F13" i="4"/>
  <c r="F11" i="2"/>
  <c r="J10" i="2"/>
  <c r="J13" i="4" s="1"/>
  <c r="V11" i="2"/>
  <c r="V14" i="4" s="1"/>
  <c r="Y10" i="4"/>
  <c r="Z9" i="4"/>
  <c r="W9" i="2"/>
  <c r="W12" i="4" s="1"/>
  <c r="T12" i="4"/>
  <c r="U12" i="4"/>
  <c r="X11" i="4"/>
  <c r="X10" i="2"/>
  <c r="U10" i="2"/>
  <c r="Q13" i="4"/>
  <c r="Y8" i="2"/>
  <c r="Y11" i="4" s="1"/>
  <c r="D14" i="4"/>
  <c r="Q11" i="2"/>
  <c r="T11" i="2" s="1"/>
  <c r="AB7" i="2"/>
  <c r="AB10" i="4" s="1"/>
  <c r="Z10" i="4"/>
  <c r="D12" i="2"/>
  <c r="R12" i="2" s="1"/>
  <c r="V12" i="2" s="1"/>
  <c r="V15" i="4" s="1"/>
  <c r="L11" i="4"/>
  <c r="I11" i="2"/>
  <c r="I14" i="4" s="1"/>
  <c r="M11" i="2"/>
  <c r="M14" i="4" s="1"/>
  <c r="E11" i="2"/>
  <c r="E14" i="4" s="1"/>
  <c r="L9" i="2"/>
  <c r="K12" i="4"/>
  <c r="AA13" i="2"/>
  <c r="AA16" i="4" s="1"/>
  <c r="B13" i="2"/>
  <c r="B16" i="4" s="1"/>
  <c r="C16" i="4"/>
  <c r="C14" i="2"/>
  <c r="G17" i="2"/>
  <c r="G20" i="4" s="1"/>
  <c r="H17" i="2"/>
  <c r="H20" i="4" s="1"/>
  <c r="A20" i="4"/>
  <c r="A18" i="2"/>
  <c r="K10" i="2" l="1"/>
  <c r="N9" i="2"/>
  <c r="N10" i="2" s="1"/>
  <c r="N13" i="4" s="1"/>
  <c r="N11" i="4"/>
  <c r="S11" i="2"/>
  <c r="R15" i="4"/>
  <c r="J11" i="2"/>
  <c r="J14" i="4" s="1"/>
  <c r="F14" i="4"/>
  <c r="F12" i="2"/>
  <c r="Y9" i="2"/>
  <c r="Y12" i="4" s="1"/>
  <c r="W10" i="2"/>
  <c r="W13" i="4" s="1"/>
  <c r="S13" i="4"/>
  <c r="X12" i="4"/>
  <c r="U13" i="4"/>
  <c r="X13" i="4"/>
  <c r="T13" i="4"/>
  <c r="Z8" i="2"/>
  <c r="D13" i="2"/>
  <c r="R13" i="2" s="1"/>
  <c r="R16" i="4" s="1"/>
  <c r="Q12" i="2"/>
  <c r="T12" i="2" s="1"/>
  <c r="X11" i="2"/>
  <c r="Q14" i="4"/>
  <c r="U11" i="2"/>
  <c r="M12" i="2"/>
  <c r="M15" i="4" s="1"/>
  <c r="D15" i="4"/>
  <c r="I12" i="2"/>
  <c r="I15" i="4" s="1"/>
  <c r="K11" i="2"/>
  <c r="L10" i="2"/>
  <c r="P10" i="2" s="1"/>
  <c r="P13" i="4" s="1"/>
  <c r="E12" i="2"/>
  <c r="K13" i="4"/>
  <c r="L12" i="4"/>
  <c r="P9" i="2"/>
  <c r="P12" i="4" s="1"/>
  <c r="G18" i="2"/>
  <c r="G21" i="4" s="1"/>
  <c r="A19" i="2"/>
  <c r="H18" i="2"/>
  <c r="H21" i="4" s="1"/>
  <c r="A21" i="4"/>
  <c r="AA14" i="2"/>
  <c r="AA17" i="4" s="1"/>
  <c r="B14" i="2"/>
  <c r="B17" i="4" s="1"/>
  <c r="C17" i="4"/>
  <c r="C15" i="2"/>
  <c r="O9" i="2" l="1"/>
  <c r="O12" i="4" s="1"/>
  <c r="S12" i="2"/>
  <c r="N12" i="4"/>
  <c r="F13" i="2"/>
  <c r="J12" i="2"/>
  <c r="J15" i="4" s="1"/>
  <c r="F15" i="4"/>
  <c r="V13" i="2"/>
  <c r="V16" i="4" s="1"/>
  <c r="N11" i="2"/>
  <c r="N14" i="4" s="1"/>
  <c r="Z9" i="2"/>
  <c r="AB9" i="2" s="1"/>
  <c r="AB12" i="4" s="1"/>
  <c r="W11" i="2"/>
  <c r="W14" i="4" s="1"/>
  <c r="S14" i="4"/>
  <c r="M13" i="2"/>
  <c r="M16" i="4" s="1"/>
  <c r="I13" i="2"/>
  <c r="I16" i="4" s="1"/>
  <c r="Q13" i="2"/>
  <c r="T13" i="2" s="1"/>
  <c r="U14" i="4"/>
  <c r="D14" i="2"/>
  <c r="I14" i="2" s="1"/>
  <c r="I17" i="4" s="1"/>
  <c r="T14" i="4"/>
  <c r="X14" i="4"/>
  <c r="AB8" i="2"/>
  <c r="AB11" i="4" s="1"/>
  <c r="Z11" i="4"/>
  <c r="D16" i="4"/>
  <c r="X12" i="2"/>
  <c r="Q15" i="4"/>
  <c r="U12" i="2"/>
  <c r="U15" i="4" s="1"/>
  <c r="Y10" i="2"/>
  <c r="Y13" i="4" s="1"/>
  <c r="K14" i="4"/>
  <c r="L11" i="2"/>
  <c r="L14" i="4" s="1"/>
  <c r="L13" i="4"/>
  <c r="E15" i="4"/>
  <c r="E13" i="2"/>
  <c r="O10" i="2"/>
  <c r="O13" i="4" s="1"/>
  <c r="G19" i="2"/>
  <c r="G22" i="4" s="1"/>
  <c r="A20" i="2"/>
  <c r="A22" i="4"/>
  <c r="H19" i="2"/>
  <c r="H22" i="4" s="1"/>
  <c r="AA15" i="2"/>
  <c r="AA18" i="4" s="1"/>
  <c r="B15" i="2"/>
  <c r="B18" i="4" s="1"/>
  <c r="C16" i="2"/>
  <c r="C18" i="4"/>
  <c r="K12" i="2" l="1"/>
  <c r="S13" i="2"/>
  <c r="N12" i="2"/>
  <c r="O12" i="2" s="1"/>
  <c r="O15" i="4" s="1"/>
  <c r="F14" i="2"/>
  <c r="J13" i="2"/>
  <c r="J16" i="4" s="1"/>
  <c r="F16" i="4"/>
  <c r="D17" i="4"/>
  <c r="R14" i="2"/>
  <c r="Z12" i="4"/>
  <c r="W12" i="2"/>
  <c r="W15" i="4" s="1"/>
  <c r="S15" i="4"/>
  <c r="Y11" i="2"/>
  <c r="Y14" i="4" s="1"/>
  <c r="K13" i="2"/>
  <c r="K16" i="4" s="1"/>
  <c r="Q14" i="2"/>
  <c r="T14" i="2" s="1"/>
  <c r="M14" i="2"/>
  <c r="M17" i="4" s="1"/>
  <c r="D15" i="2"/>
  <c r="Z10" i="2"/>
  <c r="Z13" i="4" s="1"/>
  <c r="X13" i="2"/>
  <c r="U13" i="2"/>
  <c r="Q16" i="4"/>
  <c r="T15" i="4"/>
  <c r="K15" i="4"/>
  <c r="L12" i="2"/>
  <c r="L15" i="4" s="1"/>
  <c r="O11" i="2"/>
  <c r="O14" i="4" s="1"/>
  <c r="P11" i="2"/>
  <c r="P14" i="4" s="1"/>
  <c r="E16" i="4"/>
  <c r="E14" i="2"/>
  <c r="AA16" i="2"/>
  <c r="AA19" i="4" s="1"/>
  <c r="B16" i="2"/>
  <c r="B19" i="4" s="1"/>
  <c r="C17" i="2"/>
  <c r="C19" i="4"/>
  <c r="G20" i="2"/>
  <c r="G23" i="4" s="1"/>
  <c r="A23" i="4"/>
  <c r="A21" i="2"/>
  <c r="H20" i="2"/>
  <c r="H23" i="4" s="1"/>
  <c r="S14" i="2" l="1"/>
  <c r="S17" i="4" s="1"/>
  <c r="J14" i="2"/>
  <c r="F15" i="2"/>
  <c r="F17" i="4"/>
  <c r="D18" i="4"/>
  <c r="R15" i="2"/>
  <c r="R17" i="4"/>
  <c r="V14" i="2"/>
  <c r="V17" i="4" s="1"/>
  <c r="Y12" i="2"/>
  <c r="Y15" i="4" s="1"/>
  <c r="W13" i="2"/>
  <c r="W16" i="4" s="1"/>
  <c r="S16" i="4"/>
  <c r="Z11" i="2"/>
  <c r="Z14" i="4" s="1"/>
  <c r="D16" i="2"/>
  <c r="D19" i="4" s="1"/>
  <c r="N13" i="2"/>
  <c r="Q15" i="2"/>
  <c r="T15" i="2" s="1"/>
  <c r="I15" i="2"/>
  <c r="I18" i="4" s="1"/>
  <c r="AB10" i="2"/>
  <c r="AB13" i="4" s="1"/>
  <c r="M15" i="2"/>
  <c r="M18" i="4" s="1"/>
  <c r="X14" i="2"/>
  <c r="U14" i="2"/>
  <c r="Q17" i="4"/>
  <c r="X15" i="4"/>
  <c r="U16" i="4"/>
  <c r="T16" i="4"/>
  <c r="P12" i="2"/>
  <c r="P15" i="4" s="1"/>
  <c r="L13" i="2"/>
  <c r="P13" i="2" s="1"/>
  <c r="P16" i="4" s="1"/>
  <c r="N15" i="4"/>
  <c r="E17" i="4"/>
  <c r="E15" i="2"/>
  <c r="G21" i="2"/>
  <c r="G24" i="4" s="1"/>
  <c r="H21" i="2"/>
  <c r="H24" i="4" s="1"/>
  <c r="A24" i="4"/>
  <c r="A22" i="2"/>
  <c r="AA17" i="2"/>
  <c r="AA20" i="4" s="1"/>
  <c r="B17" i="2"/>
  <c r="B20" i="4" s="1"/>
  <c r="C20" i="4"/>
  <c r="C18" i="2"/>
  <c r="Q16" i="2" l="1"/>
  <c r="Q19" i="4" s="1"/>
  <c r="S15" i="2"/>
  <c r="S18" i="4" s="1"/>
  <c r="M16" i="2"/>
  <c r="M19" i="4" s="1"/>
  <c r="D17" i="2"/>
  <c r="I17" i="2" s="1"/>
  <c r="I20" i="4" s="1"/>
  <c r="F18" i="4"/>
  <c r="J15" i="2"/>
  <c r="J18" i="4" s="1"/>
  <c r="F16" i="2"/>
  <c r="J17" i="4"/>
  <c r="K14" i="2"/>
  <c r="K17" i="4" s="1"/>
  <c r="I16" i="2"/>
  <c r="I19" i="4" s="1"/>
  <c r="R16" i="2"/>
  <c r="R17" i="2"/>
  <c r="R20" i="4" s="1"/>
  <c r="V15" i="2"/>
  <c r="V18" i="4" s="1"/>
  <c r="R18" i="4"/>
  <c r="Z12" i="2"/>
  <c r="AB12" i="2" s="1"/>
  <c r="AB15" i="4" s="1"/>
  <c r="W14" i="2"/>
  <c r="W17" i="4" s="1"/>
  <c r="T16" i="2"/>
  <c r="T19" i="4" s="1"/>
  <c r="AB11" i="2"/>
  <c r="AB14" i="4" s="1"/>
  <c r="O13" i="2"/>
  <c r="O16" i="4" s="1"/>
  <c r="U16" i="2"/>
  <c r="U19" i="4" s="1"/>
  <c r="X17" i="4"/>
  <c r="T17" i="4"/>
  <c r="X15" i="2"/>
  <c r="U15" i="2"/>
  <c r="U18" i="4" s="1"/>
  <c r="Q18" i="4"/>
  <c r="U17" i="4"/>
  <c r="X16" i="4"/>
  <c r="Y13" i="2"/>
  <c r="Y16" i="4" s="1"/>
  <c r="L16" i="4"/>
  <c r="N16" i="4"/>
  <c r="E18" i="4"/>
  <c r="E16" i="2"/>
  <c r="AA18" i="2"/>
  <c r="AA21" i="4" s="1"/>
  <c r="B18" i="2"/>
  <c r="B21" i="4" s="1"/>
  <c r="C21" i="4"/>
  <c r="C19" i="2"/>
  <c r="G22" i="2"/>
  <c r="G25" i="4" s="1"/>
  <c r="A23" i="2"/>
  <c r="A25" i="4"/>
  <c r="H22" i="2"/>
  <c r="H25" i="4" s="1"/>
  <c r="D18" i="2" l="1"/>
  <c r="R18" i="2" s="1"/>
  <c r="D20" i="4"/>
  <c r="M17" i="2"/>
  <c r="M20" i="4" s="1"/>
  <c r="Q17" i="2"/>
  <c r="U17" i="2" s="1"/>
  <c r="U20" i="4" s="1"/>
  <c r="S16" i="2"/>
  <c r="N14" i="2"/>
  <c r="N17" i="4" s="1"/>
  <c r="L14" i="2"/>
  <c r="L17" i="4" s="1"/>
  <c r="K15" i="2"/>
  <c r="F17" i="2"/>
  <c r="S17" i="2" s="1"/>
  <c r="F19" i="4"/>
  <c r="J16" i="2"/>
  <c r="J19" i="4" s="1"/>
  <c r="I18" i="2"/>
  <c r="I21" i="4" s="1"/>
  <c r="V17" i="2"/>
  <c r="V20" i="4" s="1"/>
  <c r="R19" i="4"/>
  <c r="V16" i="2"/>
  <c r="V19" i="4" s="1"/>
  <c r="Z15" i="4"/>
  <c r="W15" i="2"/>
  <c r="W18" i="4" s="1"/>
  <c r="X16" i="2"/>
  <c r="X19" i="4" s="1"/>
  <c r="Q18" i="2"/>
  <c r="U18" i="2" s="1"/>
  <c r="D21" i="4"/>
  <c r="Y14" i="2"/>
  <c r="Y17" i="4" s="1"/>
  <c r="T18" i="4"/>
  <c r="X18" i="4"/>
  <c r="Z13" i="2"/>
  <c r="Z16" i="4" s="1"/>
  <c r="D19" i="2"/>
  <c r="D22" i="4" s="1"/>
  <c r="M18" i="2"/>
  <c r="M21" i="4" s="1"/>
  <c r="E19" i="4"/>
  <c r="E17" i="2"/>
  <c r="AA19" i="2"/>
  <c r="AA22" i="4" s="1"/>
  <c r="B19" i="2"/>
  <c r="B22" i="4" s="1"/>
  <c r="C20" i="2"/>
  <c r="C22" i="4"/>
  <c r="G23" i="2"/>
  <c r="G26" i="4" s="1"/>
  <c r="A24" i="2"/>
  <c r="A26" i="4"/>
  <c r="H23" i="2"/>
  <c r="H26" i="4" s="1"/>
  <c r="V18" i="2"/>
  <c r="V21" i="4" s="1"/>
  <c r="R21" i="4"/>
  <c r="Q20" i="4" l="1"/>
  <c r="T17" i="2"/>
  <c r="X17" i="2" s="1"/>
  <c r="X20" i="4" s="1"/>
  <c r="P14" i="2"/>
  <c r="P17" i="4" s="1"/>
  <c r="L15" i="2"/>
  <c r="P15" i="2" s="1"/>
  <c r="P18" i="4" s="1"/>
  <c r="O14" i="2"/>
  <c r="O17" i="4" s="1"/>
  <c r="K18" i="4"/>
  <c r="N15" i="2"/>
  <c r="O15" i="2" s="1"/>
  <c r="O18" i="4" s="1"/>
  <c r="J17" i="2"/>
  <c r="F18" i="2"/>
  <c r="S18" i="2" s="1"/>
  <c r="F20" i="4"/>
  <c r="K16" i="2"/>
  <c r="Q21" i="4"/>
  <c r="I19" i="2"/>
  <c r="I22" i="4" s="1"/>
  <c r="R19" i="2"/>
  <c r="R22" i="4" s="1"/>
  <c r="Y15" i="2"/>
  <c r="Z15" i="2" s="1"/>
  <c r="Z18" i="4" s="1"/>
  <c r="W16" i="2"/>
  <c r="W19" i="4" s="1"/>
  <c r="S19" i="4"/>
  <c r="T18" i="2"/>
  <c r="T21" i="4" s="1"/>
  <c r="T20" i="4"/>
  <c r="Q19" i="2"/>
  <c r="U19" i="2" s="1"/>
  <c r="AB13" i="2"/>
  <c r="AB16" i="4" s="1"/>
  <c r="Z14" i="2"/>
  <c r="D20" i="2"/>
  <c r="R20" i="2" s="1"/>
  <c r="M19" i="2"/>
  <c r="M22" i="4" s="1"/>
  <c r="E20" i="4"/>
  <c r="E18" i="2"/>
  <c r="G24" i="2"/>
  <c r="G27" i="4" s="1"/>
  <c r="A27" i="4"/>
  <c r="A25" i="2"/>
  <c r="H24" i="2"/>
  <c r="H27" i="4" s="1"/>
  <c r="AA20" i="2"/>
  <c r="AA23" i="4" s="1"/>
  <c r="B20" i="2"/>
  <c r="B23" i="4" s="1"/>
  <c r="C21" i="2"/>
  <c r="C23" i="4"/>
  <c r="U21" i="4"/>
  <c r="L18" i="4" l="1"/>
  <c r="N16" i="2"/>
  <c r="O16" i="2" s="1"/>
  <c r="O19" i="4" s="1"/>
  <c r="N18" i="4"/>
  <c r="L16" i="2"/>
  <c r="L19" i="4" s="1"/>
  <c r="K19" i="4"/>
  <c r="J18" i="2"/>
  <c r="F21" i="4"/>
  <c r="F19" i="2"/>
  <c r="S19" i="2" s="1"/>
  <c r="J20" i="4"/>
  <c r="K17" i="2"/>
  <c r="K20" i="4" s="1"/>
  <c r="V19" i="2"/>
  <c r="V22" i="4" s="1"/>
  <c r="X18" i="2"/>
  <c r="X21" i="4" s="1"/>
  <c r="AB15" i="2"/>
  <c r="AB18" i="4" s="1"/>
  <c r="Y16" i="2"/>
  <c r="Y19" i="4" s="1"/>
  <c r="Y18" i="4"/>
  <c r="W17" i="2"/>
  <c r="S20" i="4"/>
  <c r="Q22" i="4"/>
  <c r="T19" i="2"/>
  <c r="T22" i="4" s="1"/>
  <c r="D21" i="2"/>
  <c r="R21" i="2" s="1"/>
  <c r="M20" i="2"/>
  <c r="M23" i="4" s="1"/>
  <c r="Q20" i="2"/>
  <c r="T20" i="2" s="1"/>
  <c r="D23" i="4"/>
  <c r="AB14" i="2"/>
  <c r="AB17" i="4" s="1"/>
  <c r="Z17" i="4"/>
  <c r="I20" i="2"/>
  <c r="I23" i="4" s="1"/>
  <c r="E21" i="4"/>
  <c r="E19" i="2"/>
  <c r="AA21" i="2"/>
  <c r="AA24" i="4" s="1"/>
  <c r="B21" i="2"/>
  <c r="B24" i="4" s="1"/>
  <c r="C24" i="4"/>
  <c r="C22" i="2"/>
  <c r="G25" i="2"/>
  <c r="G28" i="4" s="1"/>
  <c r="H25" i="2"/>
  <c r="H28" i="4" s="1"/>
  <c r="A28" i="4"/>
  <c r="A26" i="2"/>
  <c r="V20" i="2"/>
  <c r="V23" i="4" s="1"/>
  <c r="R23" i="4"/>
  <c r="U22" i="4"/>
  <c r="P16" i="2" l="1"/>
  <c r="P19" i="4" s="1"/>
  <c r="N19" i="4"/>
  <c r="L17" i="2"/>
  <c r="L20" i="4" s="1"/>
  <c r="F22" i="4"/>
  <c r="F20" i="2"/>
  <c r="S20" i="2" s="1"/>
  <c r="J19" i="2"/>
  <c r="J21" i="4"/>
  <c r="K18" i="2"/>
  <c r="N17" i="2"/>
  <c r="Q21" i="2"/>
  <c r="T21" i="2" s="1"/>
  <c r="D24" i="4"/>
  <c r="I21" i="2"/>
  <c r="I24" i="4" s="1"/>
  <c r="Z16" i="2"/>
  <c r="AB16" i="2" s="1"/>
  <c r="AB19" i="4" s="1"/>
  <c r="W20" i="4"/>
  <c r="Y17" i="2"/>
  <c r="Y20" i="4" s="1"/>
  <c r="D22" i="2"/>
  <c r="R22" i="2" s="1"/>
  <c r="W18" i="2"/>
  <c r="S21" i="4"/>
  <c r="X19" i="2"/>
  <c r="X22" i="4" s="1"/>
  <c r="X20" i="2"/>
  <c r="U20" i="2"/>
  <c r="U23" i="4" s="1"/>
  <c r="Q23" i="4"/>
  <c r="T23" i="4"/>
  <c r="E22" i="4"/>
  <c r="E20" i="2"/>
  <c r="G26" i="2"/>
  <c r="G29" i="4" s="1"/>
  <c r="A27" i="2"/>
  <c r="H26" i="2"/>
  <c r="H29" i="4" s="1"/>
  <c r="A29" i="4"/>
  <c r="AA22" i="2"/>
  <c r="AA25" i="4" s="1"/>
  <c r="B22" i="2"/>
  <c r="B25" i="4" s="1"/>
  <c r="C25" i="4"/>
  <c r="C23" i="2"/>
  <c r="M21" i="2"/>
  <c r="M24" i="4" s="1"/>
  <c r="V21" i="2"/>
  <c r="V24" i="4" s="1"/>
  <c r="R24" i="4"/>
  <c r="P17" i="2" l="1"/>
  <c r="P20" i="4" s="1"/>
  <c r="L18" i="2"/>
  <c r="L21" i="4" s="1"/>
  <c r="Q24" i="4"/>
  <c r="Z19" i="4"/>
  <c r="N20" i="4"/>
  <c r="O17" i="2"/>
  <c r="O20" i="4" s="1"/>
  <c r="J22" i="4"/>
  <c r="K19" i="2"/>
  <c r="F23" i="4"/>
  <c r="J20" i="2"/>
  <c r="F21" i="2"/>
  <c r="S21" i="2" s="1"/>
  <c r="N18" i="2"/>
  <c r="K21" i="4"/>
  <c r="D25" i="4"/>
  <c r="U21" i="2"/>
  <c r="U24" i="4" s="1"/>
  <c r="Q22" i="2"/>
  <c r="U22" i="2" s="1"/>
  <c r="I22" i="2"/>
  <c r="I25" i="4" s="1"/>
  <c r="W21" i="4"/>
  <c r="Y18" i="2"/>
  <c r="Y21" i="4" s="1"/>
  <c r="Z17" i="2"/>
  <c r="W19" i="2"/>
  <c r="W22" i="4" s="1"/>
  <c r="S22" i="4"/>
  <c r="T24" i="4"/>
  <c r="X21" i="2"/>
  <c r="X24" i="4" s="1"/>
  <c r="X23" i="4"/>
  <c r="E23" i="4"/>
  <c r="E21" i="2"/>
  <c r="AA23" i="2"/>
  <c r="AA26" i="4" s="1"/>
  <c r="B23" i="2"/>
  <c r="B26" i="4" s="1"/>
  <c r="C24" i="2"/>
  <c r="C26" i="4"/>
  <c r="M22" i="2"/>
  <c r="M25" i="4" s="1"/>
  <c r="G27" i="2"/>
  <c r="G30" i="4" s="1"/>
  <c r="A30" i="4"/>
  <c r="A28" i="2"/>
  <c r="H27" i="2"/>
  <c r="H30" i="4" s="1"/>
  <c r="D23" i="2"/>
  <c r="R23" i="2" s="1"/>
  <c r="V22" i="2"/>
  <c r="V25" i="4" s="1"/>
  <c r="R25" i="4"/>
  <c r="P18" i="2" l="1"/>
  <c r="P21" i="4" s="1"/>
  <c r="T22" i="2"/>
  <c r="X22" i="2" s="1"/>
  <c r="X25" i="4" s="1"/>
  <c r="Q25" i="4"/>
  <c r="J23" i="4"/>
  <c r="K20" i="2"/>
  <c r="O18" i="2"/>
  <c r="O21" i="4" s="1"/>
  <c r="N21" i="4"/>
  <c r="N19" i="2"/>
  <c r="L19" i="2"/>
  <c r="K22" i="4"/>
  <c r="F22" i="2"/>
  <c r="S22" i="2" s="1"/>
  <c r="J21" i="2"/>
  <c r="F24" i="4"/>
  <c r="Z20" i="4"/>
  <c r="AB17" i="2"/>
  <c r="AB20" i="4" s="1"/>
  <c r="Z18" i="2"/>
  <c r="W20" i="2"/>
  <c r="S23" i="4"/>
  <c r="Y19" i="2"/>
  <c r="Y22" i="4" s="1"/>
  <c r="Q23" i="2"/>
  <c r="E24" i="4"/>
  <c r="E22" i="2"/>
  <c r="E25" i="4" s="1"/>
  <c r="M23" i="2"/>
  <c r="M26" i="4" s="1"/>
  <c r="D26" i="4"/>
  <c r="D24" i="2"/>
  <c r="I24" i="2" s="1"/>
  <c r="I27" i="4" s="1"/>
  <c r="I23" i="2"/>
  <c r="I26" i="4" s="1"/>
  <c r="G28" i="2"/>
  <c r="G31" i="4" s="1"/>
  <c r="A31" i="4"/>
  <c r="A29" i="2"/>
  <c r="H28" i="2"/>
  <c r="H31" i="4" s="1"/>
  <c r="AA24" i="2"/>
  <c r="AA27" i="4" s="1"/>
  <c r="B24" i="2"/>
  <c r="B27" i="4" s="1"/>
  <c r="C25" i="2"/>
  <c r="C27" i="4"/>
  <c r="V23" i="2"/>
  <c r="V26" i="4" s="1"/>
  <c r="R26" i="4"/>
  <c r="U25" i="4"/>
  <c r="T25" i="4" l="1"/>
  <c r="J22" i="2"/>
  <c r="F25" i="4"/>
  <c r="F23" i="2"/>
  <c r="S23" i="2" s="1"/>
  <c r="P19" i="2"/>
  <c r="P22" i="4" s="1"/>
  <c r="L22" i="4"/>
  <c r="K23" i="4"/>
  <c r="N20" i="2"/>
  <c r="L20" i="2"/>
  <c r="J24" i="4"/>
  <c r="K21" i="2"/>
  <c r="O19" i="2"/>
  <c r="O22" i="4" s="1"/>
  <c r="N22" i="4"/>
  <c r="R24" i="2"/>
  <c r="V24" i="2" s="1"/>
  <c r="V27" i="4" s="1"/>
  <c r="Z21" i="4"/>
  <c r="AB18" i="2"/>
  <c r="AB21" i="4" s="1"/>
  <c r="W21" i="2"/>
  <c r="S24" i="4"/>
  <c r="W23" i="4"/>
  <c r="Y20" i="2"/>
  <c r="Z19" i="2"/>
  <c r="U23" i="2"/>
  <c r="U26" i="4" s="1"/>
  <c r="T23" i="2"/>
  <c r="X23" i="2" s="1"/>
  <c r="X26" i="4" s="1"/>
  <c r="Q26" i="4"/>
  <c r="Q24" i="2"/>
  <c r="T24" i="2" s="1"/>
  <c r="E23" i="2"/>
  <c r="E26" i="4" s="1"/>
  <c r="D27" i="4"/>
  <c r="D25" i="2"/>
  <c r="Q25" i="2" s="1"/>
  <c r="T25" i="2" s="1"/>
  <c r="M24" i="2"/>
  <c r="M27" i="4" s="1"/>
  <c r="AA25" i="2"/>
  <c r="AA28" i="4" s="1"/>
  <c r="B25" i="2"/>
  <c r="B28" i="4" s="1"/>
  <c r="C28" i="4"/>
  <c r="C26" i="2"/>
  <c r="G29" i="2"/>
  <c r="G32" i="4" s="1"/>
  <c r="A30" i="2"/>
  <c r="H29" i="2"/>
  <c r="H32" i="4" s="1"/>
  <c r="A32" i="4"/>
  <c r="L23" i="4" l="1"/>
  <c r="P20" i="2"/>
  <c r="P23" i="4" s="1"/>
  <c r="O20" i="2"/>
  <c r="O23" i="4" s="1"/>
  <c r="N23" i="4"/>
  <c r="J23" i="2"/>
  <c r="F24" i="2"/>
  <c r="S24" i="2" s="1"/>
  <c r="F26" i="4"/>
  <c r="K24" i="4"/>
  <c r="N21" i="2"/>
  <c r="L21" i="2"/>
  <c r="J25" i="4"/>
  <c r="K22" i="2"/>
  <c r="R27" i="4"/>
  <c r="R25" i="2"/>
  <c r="V25" i="2" s="1"/>
  <c r="V28" i="4" s="1"/>
  <c r="Z22" i="4"/>
  <c r="AB19" i="2"/>
  <c r="AB22" i="4" s="1"/>
  <c r="Y23" i="4"/>
  <c r="Z20" i="2"/>
  <c r="W24" i="4"/>
  <c r="Y21" i="2"/>
  <c r="W22" i="2"/>
  <c r="S25" i="4"/>
  <c r="T26" i="4"/>
  <c r="X24" i="2"/>
  <c r="X27" i="4" s="1"/>
  <c r="U24" i="2"/>
  <c r="U27" i="4" s="1"/>
  <c r="Q27" i="4"/>
  <c r="T27" i="4"/>
  <c r="E24" i="2"/>
  <c r="E27" i="4" s="1"/>
  <c r="D26" i="2"/>
  <c r="Q26" i="2" s="1"/>
  <c r="T26" i="2" s="1"/>
  <c r="D28" i="4"/>
  <c r="I25" i="2"/>
  <c r="I28" i="4" s="1"/>
  <c r="AA26" i="2"/>
  <c r="AA29" i="4" s="1"/>
  <c r="B26" i="2"/>
  <c r="B29" i="4" s="1"/>
  <c r="C29" i="4"/>
  <c r="C27" i="2"/>
  <c r="A31" i="2"/>
  <c r="H30" i="2"/>
  <c r="H33" i="4" s="1"/>
  <c r="A33" i="4"/>
  <c r="G30" i="2"/>
  <c r="G33" i="4" s="1"/>
  <c r="M25" i="2"/>
  <c r="M28" i="4" s="1"/>
  <c r="Q28" i="4"/>
  <c r="U25" i="2"/>
  <c r="L22" i="2" l="1"/>
  <c r="K25" i="4"/>
  <c r="N22" i="2"/>
  <c r="L24" i="4"/>
  <c r="P21" i="2"/>
  <c r="P24" i="4" s="1"/>
  <c r="J24" i="2"/>
  <c r="F27" i="4"/>
  <c r="F25" i="2"/>
  <c r="S25" i="2" s="1"/>
  <c r="O21" i="2"/>
  <c r="O24" i="4" s="1"/>
  <c r="N24" i="4"/>
  <c r="J26" i="4"/>
  <c r="K23" i="2"/>
  <c r="R28" i="4"/>
  <c r="R26" i="2"/>
  <c r="R29" i="4" s="1"/>
  <c r="Z23" i="4"/>
  <c r="AB20" i="2"/>
  <c r="AB23" i="4" s="1"/>
  <c r="W25" i="4"/>
  <c r="Y22" i="2"/>
  <c r="Y25" i="4" s="1"/>
  <c r="W23" i="2"/>
  <c r="S26" i="4"/>
  <c r="Z21" i="2"/>
  <c r="Y24" i="4"/>
  <c r="X25" i="2"/>
  <c r="X28" i="4" s="1"/>
  <c r="T28" i="4"/>
  <c r="E25" i="2"/>
  <c r="E28" i="4" s="1"/>
  <c r="D29" i="4"/>
  <c r="D27" i="2"/>
  <c r="I27" i="2" s="1"/>
  <c r="I30" i="4" s="1"/>
  <c r="I26" i="2"/>
  <c r="I29" i="4" s="1"/>
  <c r="AA27" i="2"/>
  <c r="AA30" i="4" s="1"/>
  <c r="B27" i="2"/>
  <c r="B30" i="4" s="1"/>
  <c r="C28" i="2"/>
  <c r="C30" i="4"/>
  <c r="M26" i="2"/>
  <c r="M29" i="4" s="1"/>
  <c r="H31" i="2"/>
  <c r="H34" i="4" s="1"/>
  <c r="A34" i="4"/>
  <c r="A32" i="2"/>
  <c r="G31" i="2"/>
  <c r="G34" i="4" s="1"/>
  <c r="U26" i="2"/>
  <c r="Q29" i="4"/>
  <c r="U28" i="4"/>
  <c r="V26" i="2" l="1"/>
  <c r="V29" i="4" s="1"/>
  <c r="K26" i="4"/>
  <c r="L23" i="2"/>
  <c r="N23" i="2"/>
  <c r="J25" i="2"/>
  <c r="F28" i="4"/>
  <c r="F26" i="2"/>
  <c r="S26" i="2" s="1"/>
  <c r="N25" i="4"/>
  <c r="O22" i="2"/>
  <c r="O25" i="4" s="1"/>
  <c r="J27" i="4"/>
  <c r="K24" i="2"/>
  <c r="P22" i="2"/>
  <c r="P25" i="4" s="1"/>
  <c r="L25" i="4"/>
  <c r="R27" i="2"/>
  <c r="V27" i="2" s="1"/>
  <c r="V30" i="4" s="1"/>
  <c r="Z24" i="4"/>
  <c r="AB21" i="2"/>
  <c r="AB24" i="4" s="1"/>
  <c r="Z22" i="2"/>
  <c r="W26" i="4"/>
  <c r="Y23" i="2"/>
  <c r="W24" i="2"/>
  <c r="S27" i="4"/>
  <c r="T29" i="4"/>
  <c r="X26" i="2"/>
  <c r="X29" i="4" s="1"/>
  <c r="Q27" i="2"/>
  <c r="E26" i="2"/>
  <c r="E29" i="4" s="1"/>
  <c r="D30" i="4"/>
  <c r="D28" i="2"/>
  <c r="I28" i="2" s="1"/>
  <c r="I31" i="4" s="1"/>
  <c r="G32" i="2"/>
  <c r="G35" i="4" s="1"/>
  <c r="A33" i="2"/>
  <c r="A35" i="4"/>
  <c r="H32" i="2"/>
  <c r="H35" i="4" s="1"/>
  <c r="AA28" i="2"/>
  <c r="AA31" i="4" s="1"/>
  <c r="B28" i="2"/>
  <c r="B31" i="4" s="1"/>
  <c r="C31" i="4"/>
  <c r="C29" i="2"/>
  <c r="M27" i="2"/>
  <c r="M30" i="4" s="1"/>
  <c r="U29" i="4"/>
  <c r="J28" i="4" l="1"/>
  <c r="K25" i="2"/>
  <c r="N26" i="4"/>
  <c r="O23" i="2"/>
  <c r="O26" i="4" s="1"/>
  <c r="K27" i="4"/>
  <c r="L24" i="2"/>
  <c r="N24" i="2"/>
  <c r="F29" i="4"/>
  <c r="F27" i="2"/>
  <c r="S27" i="2" s="1"/>
  <c r="J26" i="2"/>
  <c r="P23" i="2"/>
  <c r="P26" i="4" s="1"/>
  <c r="L26" i="4"/>
  <c r="R30" i="4"/>
  <c r="R28" i="2"/>
  <c r="V28" i="2" s="1"/>
  <c r="V31" i="4" s="1"/>
  <c r="Z25" i="4"/>
  <c r="AB22" i="2"/>
  <c r="AB25" i="4" s="1"/>
  <c r="Y26" i="4"/>
  <c r="Z23" i="2"/>
  <c r="W27" i="4"/>
  <c r="Y24" i="2"/>
  <c r="Y27" i="4" s="1"/>
  <c r="W25" i="2"/>
  <c r="S28" i="4"/>
  <c r="U27" i="2"/>
  <c r="U30" i="4" s="1"/>
  <c r="T27" i="2"/>
  <c r="X27" i="2" s="1"/>
  <c r="X30" i="4" s="1"/>
  <c r="Q30" i="4"/>
  <c r="Q28" i="2"/>
  <c r="E27" i="2"/>
  <c r="E30" i="4" s="1"/>
  <c r="D31" i="4"/>
  <c r="M28" i="2"/>
  <c r="M31" i="4" s="1"/>
  <c r="C30" i="2"/>
  <c r="B29" i="2"/>
  <c r="B32" i="4" s="1"/>
  <c r="AA29" i="2"/>
  <c r="AA32" i="4" s="1"/>
  <c r="C32" i="4"/>
  <c r="D29" i="2"/>
  <c r="Q29" i="2" s="1"/>
  <c r="H33" i="2"/>
  <c r="A34" i="2"/>
  <c r="G33" i="2"/>
  <c r="R31" i="4" l="1"/>
  <c r="O24" i="2"/>
  <c r="O27" i="4" s="1"/>
  <c r="N27" i="4"/>
  <c r="J29" i="4"/>
  <c r="K26" i="2"/>
  <c r="P24" i="2"/>
  <c r="P27" i="4" s="1"/>
  <c r="L27" i="4"/>
  <c r="K28" i="4"/>
  <c r="N25" i="2"/>
  <c r="L25" i="2"/>
  <c r="F30" i="4"/>
  <c r="F28" i="2"/>
  <c r="S28" i="2" s="1"/>
  <c r="J27" i="2"/>
  <c r="R29" i="2"/>
  <c r="T30" i="4"/>
  <c r="Z26" i="4"/>
  <c r="AB23" i="2"/>
  <c r="AB26" i="4" s="1"/>
  <c r="W28" i="4"/>
  <c r="Y25" i="2"/>
  <c r="Y28" i="4" s="1"/>
  <c r="W26" i="2"/>
  <c r="S29" i="4"/>
  <c r="Z24" i="2"/>
  <c r="T28" i="2"/>
  <c r="T31" i="4" s="1"/>
  <c r="U29" i="2"/>
  <c r="U32" i="4" s="1"/>
  <c r="T29" i="2"/>
  <c r="U28" i="2"/>
  <c r="U31" i="4" s="1"/>
  <c r="Q31" i="4"/>
  <c r="E28" i="2"/>
  <c r="E31" i="4" s="1"/>
  <c r="Q32" i="4"/>
  <c r="I29" i="2"/>
  <c r="I32" i="4" s="1"/>
  <c r="A35" i="2"/>
  <c r="G34" i="2"/>
  <c r="H34" i="2"/>
  <c r="M29" i="2"/>
  <c r="M32" i="4" s="1"/>
  <c r="D32" i="4"/>
  <c r="D30" i="2"/>
  <c r="Q30" i="2" s="1"/>
  <c r="C31" i="2"/>
  <c r="B30" i="2"/>
  <c r="B33" i="4" s="1"/>
  <c r="C33" i="4"/>
  <c r="AA30" i="2"/>
  <c r="AA33" i="4" s="1"/>
  <c r="J30" i="4" l="1"/>
  <c r="K27" i="2"/>
  <c r="O25" i="2"/>
  <c r="O28" i="4" s="1"/>
  <c r="N28" i="4"/>
  <c r="K29" i="4"/>
  <c r="N26" i="2"/>
  <c r="L26" i="2"/>
  <c r="F29" i="2"/>
  <c r="S29" i="2" s="1"/>
  <c r="F31" i="4"/>
  <c r="J28" i="2"/>
  <c r="P25" i="2"/>
  <c r="P28" i="4" s="1"/>
  <c r="L28" i="4"/>
  <c r="R32" i="4"/>
  <c r="V29" i="2"/>
  <c r="V32" i="4" s="1"/>
  <c r="R30" i="2"/>
  <c r="AB24" i="2"/>
  <c r="AB27" i="4" s="1"/>
  <c r="Z27" i="4"/>
  <c r="W29" i="4"/>
  <c r="Y26" i="2"/>
  <c r="Y29" i="4" s="1"/>
  <c r="Z25" i="2"/>
  <c r="W27" i="2"/>
  <c r="S30" i="4"/>
  <c r="Q33" i="4"/>
  <c r="T30" i="2"/>
  <c r="X28" i="2"/>
  <c r="X31" i="4" s="1"/>
  <c r="T32" i="4"/>
  <c r="X29" i="2"/>
  <c r="X32" i="4" s="1"/>
  <c r="E29" i="2"/>
  <c r="E32" i="4" s="1"/>
  <c r="D31" i="2"/>
  <c r="Q31" i="2" s="1"/>
  <c r="U30" i="2"/>
  <c r="U33" i="4" s="1"/>
  <c r="D33" i="4"/>
  <c r="M30" i="2"/>
  <c r="M33" i="4" s="1"/>
  <c r="I30" i="2"/>
  <c r="I33" i="4" s="1"/>
  <c r="AA31" i="2"/>
  <c r="AA34" i="4" s="1"/>
  <c r="C34" i="4"/>
  <c r="C32" i="2"/>
  <c r="B31" i="2"/>
  <c r="B34" i="4" s="1"/>
  <c r="H35" i="2"/>
  <c r="A36" i="2"/>
  <c r="G35" i="2"/>
  <c r="F30" i="2" l="1"/>
  <c r="S30" i="2" s="1"/>
  <c r="F32" i="4"/>
  <c r="J29" i="2"/>
  <c r="L29" i="4"/>
  <c r="P26" i="2"/>
  <c r="P29" i="4" s="1"/>
  <c r="J31" i="4"/>
  <c r="K28" i="2"/>
  <c r="N29" i="4"/>
  <c r="O26" i="2"/>
  <c r="O29" i="4" s="1"/>
  <c r="K30" i="4"/>
  <c r="L27" i="2"/>
  <c r="N27" i="2"/>
  <c r="R33" i="4"/>
  <c r="V30" i="2"/>
  <c r="V33" i="4" s="1"/>
  <c r="R31" i="2"/>
  <c r="Z28" i="4"/>
  <c r="AB25" i="2"/>
  <c r="AB28" i="4" s="1"/>
  <c r="W30" i="4"/>
  <c r="Y27" i="2"/>
  <c r="Y30" i="4" s="1"/>
  <c r="W28" i="2"/>
  <c r="W31" i="4" s="1"/>
  <c r="S31" i="4"/>
  <c r="Z26" i="2"/>
  <c r="U31" i="2"/>
  <c r="U34" i="4" s="1"/>
  <c r="T31" i="2"/>
  <c r="T33" i="4"/>
  <c r="X30" i="2"/>
  <c r="X33" i="4" s="1"/>
  <c r="D34" i="4"/>
  <c r="E30" i="2"/>
  <c r="E33" i="4" s="1"/>
  <c r="Q34" i="4"/>
  <c r="I31" i="2"/>
  <c r="I34" i="4" s="1"/>
  <c r="M31" i="2"/>
  <c r="M34" i="4" s="1"/>
  <c r="C33" i="2"/>
  <c r="B32" i="2"/>
  <c r="B35" i="4" s="1"/>
  <c r="AA32" i="2"/>
  <c r="AA35" i="4" s="1"/>
  <c r="C35" i="4"/>
  <c r="D32" i="2"/>
  <c r="Q32" i="2" s="1"/>
  <c r="G36" i="2"/>
  <c r="A37" i="2"/>
  <c r="H36" i="2"/>
  <c r="O27" i="2" l="1"/>
  <c r="O30" i="4" s="1"/>
  <c r="N30" i="4"/>
  <c r="P27" i="2"/>
  <c r="P30" i="4" s="1"/>
  <c r="L30" i="4"/>
  <c r="K31" i="4"/>
  <c r="N28" i="2"/>
  <c r="L28" i="2"/>
  <c r="J32" i="4"/>
  <c r="K29" i="2"/>
  <c r="F33" i="4"/>
  <c r="F31" i="2"/>
  <c r="S31" i="2" s="1"/>
  <c r="J30" i="2"/>
  <c r="R34" i="4"/>
  <c r="V31" i="2"/>
  <c r="V34" i="4" s="1"/>
  <c r="R32" i="2"/>
  <c r="Z27" i="2"/>
  <c r="Z30" i="4" s="1"/>
  <c r="AB26" i="2"/>
  <c r="AB29" i="4" s="1"/>
  <c r="Z29" i="4"/>
  <c r="W29" i="2"/>
  <c r="S32" i="4"/>
  <c r="Y28" i="2"/>
  <c r="Q35" i="4"/>
  <c r="T32" i="2"/>
  <c r="T34" i="4"/>
  <c r="X31" i="2"/>
  <c r="X34" i="4" s="1"/>
  <c r="E31" i="2"/>
  <c r="E34" i="4" s="1"/>
  <c r="M32" i="2"/>
  <c r="M35" i="4" s="1"/>
  <c r="U32" i="2"/>
  <c r="U35" i="4" s="1"/>
  <c r="H37" i="2"/>
  <c r="A38" i="2"/>
  <c r="G37" i="2"/>
  <c r="I32" i="2"/>
  <c r="I35" i="4" s="1"/>
  <c r="D35" i="4"/>
  <c r="D33" i="2"/>
  <c r="Q33" i="2" s="1"/>
  <c r="AA33" i="2"/>
  <c r="C34" i="2"/>
  <c r="B33" i="2"/>
  <c r="J33" i="4" l="1"/>
  <c r="K30" i="2"/>
  <c r="J31" i="2"/>
  <c r="F34" i="4"/>
  <c r="F32" i="2"/>
  <c r="S32" i="2" s="1"/>
  <c r="P28" i="2"/>
  <c r="P31" i="4" s="1"/>
  <c r="L31" i="4"/>
  <c r="O28" i="2"/>
  <c r="O31" i="4" s="1"/>
  <c r="N31" i="4"/>
  <c r="N29" i="2"/>
  <c r="L29" i="2"/>
  <c r="K32" i="4"/>
  <c r="AB27" i="2"/>
  <c r="AB30" i="4" s="1"/>
  <c r="R33" i="2"/>
  <c r="V33" i="2" s="1"/>
  <c r="R35" i="4"/>
  <c r="V32" i="2"/>
  <c r="V35" i="4" s="1"/>
  <c r="W32" i="4"/>
  <c r="Y29" i="2"/>
  <c r="Y32" i="4" s="1"/>
  <c r="Z28" i="2"/>
  <c r="Y31" i="4"/>
  <c r="W30" i="2"/>
  <c r="S33" i="4"/>
  <c r="U33" i="2"/>
  <c r="T33" i="2"/>
  <c r="X33" i="2" s="1"/>
  <c r="T35" i="4"/>
  <c r="X32" i="2"/>
  <c r="X35" i="4" s="1"/>
  <c r="E32" i="2"/>
  <c r="E35" i="4" s="1"/>
  <c r="M33" i="2"/>
  <c r="I33" i="2"/>
  <c r="D34" i="2"/>
  <c r="Q34" i="2" s="1"/>
  <c r="B34" i="2"/>
  <c r="C35" i="2"/>
  <c r="AA34" i="2"/>
  <c r="A39" i="2"/>
  <c r="G38" i="2"/>
  <c r="H38" i="2"/>
  <c r="P29" i="2" l="1"/>
  <c r="P32" i="4" s="1"/>
  <c r="L32" i="4"/>
  <c r="J34" i="4"/>
  <c r="K31" i="2"/>
  <c r="O29" i="2"/>
  <c r="O32" i="4" s="1"/>
  <c r="N32" i="4"/>
  <c r="K33" i="4"/>
  <c r="L30" i="2"/>
  <c r="N30" i="2"/>
  <c r="F35" i="4"/>
  <c r="J32" i="2"/>
  <c r="F33" i="2"/>
  <c r="S33" i="2" s="1"/>
  <c r="R34" i="2"/>
  <c r="V34" i="2" s="1"/>
  <c r="Z31" i="4"/>
  <c r="AB28" i="2"/>
  <c r="AB31" i="4" s="1"/>
  <c r="W33" i="4"/>
  <c r="Y30" i="2"/>
  <c r="Y33" i="4" s="1"/>
  <c r="W31" i="2"/>
  <c r="S34" i="4"/>
  <c r="Z29" i="2"/>
  <c r="U34" i="2"/>
  <c r="T34" i="2"/>
  <c r="X34" i="2" s="1"/>
  <c r="E33" i="2"/>
  <c r="E34" i="2" s="1"/>
  <c r="I34" i="2"/>
  <c r="M34" i="2"/>
  <c r="D35" i="2"/>
  <c r="Q35" i="2" s="1"/>
  <c r="AA35" i="2"/>
  <c r="B35" i="2"/>
  <c r="C36" i="2"/>
  <c r="H39" i="2"/>
  <c r="A40" i="2"/>
  <c r="G39" i="2"/>
  <c r="F34" i="2" l="1"/>
  <c r="S34" i="2" s="1"/>
  <c r="J33" i="2"/>
  <c r="K33" i="2" s="1"/>
  <c r="P30" i="2"/>
  <c r="P33" i="4" s="1"/>
  <c r="L33" i="4"/>
  <c r="K34" i="4"/>
  <c r="N31" i="2"/>
  <c r="L31" i="2"/>
  <c r="J35" i="4"/>
  <c r="K32" i="2"/>
  <c r="O30" i="2"/>
  <c r="O33" i="4" s="1"/>
  <c r="N33" i="4"/>
  <c r="R35" i="2"/>
  <c r="V35" i="2" s="1"/>
  <c r="Z32" i="4"/>
  <c r="AB29" i="2"/>
  <c r="AB32" i="4" s="1"/>
  <c r="W34" i="4"/>
  <c r="Y31" i="2"/>
  <c r="S35" i="4"/>
  <c r="W32" i="2"/>
  <c r="Z30" i="2"/>
  <c r="U35" i="2"/>
  <c r="T35" i="2"/>
  <c r="X35" i="2" s="1"/>
  <c r="D36" i="2"/>
  <c r="Q36" i="2" s="1"/>
  <c r="M35" i="2"/>
  <c r="I35" i="2"/>
  <c r="E35" i="2"/>
  <c r="C37" i="2"/>
  <c r="B36" i="2"/>
  <c r="AA36" i="2"/>
  <c r="A41" i="2"/>
  <c r="H40" i="2"/>
  <c r="G40" i="2"/>
  <c r="P31" i="2" l="1"/>
  <c r="P34" i="4" s="1"/>
  <c r="L34" i="4"/>
  <c r="K35" i="4"/>
  <c r="L32" i="2"/>
  <c r="N32" i="2"/>
  <c r="O31" i="2"/>
  <c r="O34" i="4" s="1"/>
  <c r="N34" i="4"/>
  <c r="J34" i="2"/>
  <c r="K34" i="2" s="1"/>
  <c r="F35" i="2"/>
  <c r="S35" i="2" s="1"/>
  <c r="R36" i="2"/>
  <c r="V36" i="2" s="1"/>
  <c r="W33" i="2"/>
  <c r="Y33" i="2" s="1"/>
  <c r="Z33" i="2" s="1"/>
  <c r="AB33" i="2" s="1"/>
  <c r="AB30" i="2"/>
  <c r="AB33" i="4" s="1"/>
  <c r="Z33" i="4"/>
  <c r="Z31" i="2"/>
  <c r="Y34" i="4"/>
  <c r="W35" i="4"/>
  <c r="Y32" i="2"/>
  <c r="U36" i="2"/>
  <c r="T36" i="2"/>
  <c r="X36" i="2" s="1"/>
  <c r="E36" i="2"/>
  <c r="M36" i="2"/>
  <c r="D37" i="2"/>
  <c r="Q37" i="2" s="1"/>
  <c r="I36" i="2"/>
  <c r="H41" i="2"/>
  <c r="A42" i="2"/>
  <c r="G41" i="2"/>
  <c r="AA37" i="2"/>
  <c r="B37" i="2"/>
  <c r="C38" i="2"/>
  <c r="J35" i="2" l="1"/>
  <c r="K35" i="2" s="1"/>
  <c r="F36" i="2"/>
  <c r="S36" i="2" s="1"/>
  <c r="N35" i="4"/>
  <c r="O32" i="2"/>
  <c r="O35" i="4" s="1"/>
  <c r="P32" i="2"/>
  <c r="P35" i="4" s="1"/>
  <c r="L35" i="4"/>
  <c r="L33" i="2"/>
  <c r="N33" i="2"/>
  <c r="O33" i="2" s="1"/>
  <c r="R37" i="2"/>
  <c r="V37" i="2" s="1"/>
  <c r="AB31" i="2"/>
  <c r="AB34" i="4" s="1"/>
  <c r="Z34" i="4"/>
  <c r="Y35" i="4"/>
  <c r="Z32" i="2"/>
  <c r="W34" i="2"/>
  <c r="Y34" i="2" s="1"/>
  <c r="Z34" i="2" s="1"/>
  <c r="AB34" i="2" s="1"/>
  <c r="U37" i="2"/>
  <c r="T37" i="2"/>
  <c r="X37" i="2" s="1"/>
  <c r="I37" i="2"/>
  <c r="D38" i="2"/>
  <c r="Q38" i="2" s="1"/>
  <c r="M37" i="2"/>
  <c r="E37" i="2"/>
  <c r="B38" i="2"/>
  <c r="C39" i="2"/>
  <c r="R39" i="2" s="1"/>
  <c r="AA38" i="2"/>
  <c r="A43" i="2"/>
  <c r="H42" i="2"/>
  <c r="G42" i="2"/>
  <c r="P33" i="2" l="1"/>
  <c r="L34" i="2"/>
  <c r="J36" i="2"/>
  <c r="K36" i="2" s="1"/>
  <c r="F37" i="2"/>
  <c r="S37" i="2" s="1"/>
  <c r="N34" i="2"/>
  <c r="O34" i="2" s="1"/>
  <c r="R38" i="2"/>
  <c r="V38" i="2" s="1"/>
  <c r="Z35" i="4"/>
  <c r="AB32" i="2"/>
  <c r="AB35" i="4" s="1"/>
  <c r="W35" i="2"/>
  <c r="Y35" i="2" s="1"/>
  <c r="Z35" i="2" s="1"/>
  <c r="AB35" i="2" s="1"/>
  <c r="U38" i="2"/>
  <c r="T38" i="2"/>
  <c r="E38" i="2"/>
  <c r="M38" i="2"/>
  <c r="I38" i="2"/>
  <c r="D39" i="2"/>
  <c r="I39" i="2" s="1"/>
  <c r="H43" i="2"/>
  <c r="A44" i="2"/>
  <c r="G43" i="2"/>
  <c r="C40" i="2"/>
  <c r="R40" i="2" s="1"/>
  <c r="AA39" i="2"/>
  <c r="B39" i="2"/>
  <c r="V39" i="2"/>
  <c r="F38" i="2" l="1"/>
  <c r="S38" i="2" s="1"/>
  <c r="J37" i="2"/>
  <c r="K37" i="2" s="1"/>
  <c r="P34" i="2"/>
  <c r="L35" i="2"/>
  <c r="N35" i="2"/>
  <c r="O35" i="2" s="1"/>
  <c r="W36" i="2"/>
  <c r="Y36" i="2" s="1"/>
  <c r="Z36" i="2" s="1"/>
  <c r="AB36" i="2" s="1"/>
  <c r="X38" i="2"/>
  <c r="Q39" i="2"/>
  <c r="T39" i="2" s="1"/>
  <c r="M39" i="2"/>
  <c r="E39" i="2"/>
  <c r="D40" i="2"/>
  <c r="I40" i="2" s="1"/>
  <c r="A45" i="2"/>
  <c r="H44" i="2"/>
  <c r="G44" i="2"/>
  <c r="C41" i="2"/>
  <c r="R41" i="2" s="1"/>
  <c r="B40" i="2"/>
  <c r="AA40" i="2"/>
  <c r="V40" i="2"/>
  <c r="N36" i="2" l="1"/>
  <c r="O36" i="2" s="1"/>
  <c r="P35" i="2"/>
  <c r="L36" i="2"/>
  <c r="F39" i="2"/>
  <c r="S39" i="2" s="1"/>
  <c r="J38" i="2"/>
  <c r="K38" i="2" s="1"/>
  <c r="W37" i="2"/>
  <c r="Y37" i="2" s="1"/>
  <c r="Z37" i="2" s="1"/>
  <c r="AB37" i="2" s="1"/>
  <c r="Q40" i="2"/>
  <c r="X39" i="2"/>
  <c r="U39" i="2"/>
  <c r="D41" i="2"/>
  <c r="Q41" i="2" s="1"/>
  <c r="T41" i="2" s="1"/>
  <c r="E40" i="2"/>
  <c r="M40" i="2"/>
  <c r="C42" i="2"/>
  <c r="R42" i="2" s="1"/>
  <c r="AA41" i="2"/>
  <c r="B41" i="2"/>
  <c r="V41" i="2"/>
  <c r="H45" i="2"/>
  <c r="A46" i="2"/>
  <c r="G45" i="2"/>
  <c r="P36" i="2" l="1"/>
  <c r="L37" i="2"/>
  <c r="N37" i="2"/>
  <c r="O37" i="2" s="1"/>
  <c r="J39" i="2"/>
  <c r="K39" i="2" s="1"/>
  <c r="F40" i="2"/>
  <c r="S40" i="2" s="1"/>
  <c r="W38" i="2"/>
  <c r="Y38" i="2" s="1"/>
  <c r="Z38" i="2" s="1"/>
  <c r="AB38" i="2" s="1"/>
  <c r="T40" i="2"/>
  <c r="X40" i="2" s="1"/>
  <c r="I41" i="2"/>
  <c r="U40" i="2"/>
  <c r="X41" i="2"/>
  <c r="U41" i="2"/>
  <c r="M41" i="2"/>
  <c r="E41" i="2"/>
  <c r="D42" i="2"/>
  <c r="Q42" i="2" s="1"/>
  <c r="T42" i="2" s="1"/>
  <c r="A47" i="2"/>
  <c r="H46" i="2"/>
  <c r="G46" i="2"/>
  <c r="C43" i="2"/>
  <c r="R43" i="2" s="1"/>
  <c r="B42" i="2"/>
  <c r="AA42" i="2"/>
  <c r="V42" i="2"/>
  <c r="N38" i="2" l="1"/>
  <c r="O38" i="2" s="1"/>
  <c r="F41" i="2"/>
  <c r="S41" i="2" s="1"/>
  <c r="J40" i="2"/>
  <c r="K40" i="2" s="1"/>
  <c r="P37" i="2"/>
  <c r="L38" i="2"/>
  <c r="W40" i="2"/>
  <c r="Y40" i="2" s="1"/>
  <c r="Z40" i="2" s="1"/>
  <c r="AB40" i="2" s="1"/>
  <c r="W39" i="2"/>
  <c r="Y39" i="2" s="1"/>
  <c r="Z39" i="2" s="1"/>
  <c r="AB39" i="2" s="1"/>
  <c r="X42" i="2"/>
  <c r="U42" i="2"/>
  <c r="M42" i="2"/>
  <c r="E42" i="2"/>
  <c r="I42" i="2"/>
  <c r="C44" i="2"/>
  <c r="R44" i="2" s="1"/>
  <c r="AA43" i="2"/>
  <c r="B43" i="2"/>
  <c r="V43" i="2"/>
  <c r="D43" i="2"/>
  <c r="H47" i="2"/>
  <c r="A48" i="2"/>
  <c r="G47" i="2"/>
  <c r="N39" i="2" l="1"/>
  <c r="O39" i="2" s="1"/>
  <c r="P38" i="2"/>
  <c r="L39" i="2"/>
  <c r="P39" i="2" s="1"/>
  <c r="W41" i="2"/>
  <c r="Y41" i="2" s="1"/>
  <c r="Z41" i="2" s="1"/>
  <c r="AB41" i="2" s="1"/>
  <c r="J41" i="2"/>
  <c r="K41" i="2" s="1"/>
  <c r="F42" i="2"/>
  <c r="S42" i="2" s="1"/>
  <c r="E43" i="2"/>
  <c r="Q43" i="2"/>
  <c r="T43" i="2" s="1"/>
  <c r="I43" i="2"/>
  <c r="D44" i="2"/>
  <c r="Q44" i="2" s="1"/>
  <c r="T44" i="2" s="1"/>
  <c r="M43" i="2"/>
  <c r="A49" i="2"/>
  <c r="H48" i="2"/>
  <c r="G48" i="2"/>
  <c r="C45" i="2"/>
  <c r="R45" i="2" s="1"/>
  <c r="B44" i="2"/>
  <c r="AA44" i="2"/>
  <c r="V44" i="2"/>
  <c r="N40" i="2" l="1"/>
  <c r="O40" i="2" s="1"/>
  <c r="W42" i="2"/>
  <c r="Y42" i="2" s="1"/>
  <c r="Z42" i="2" s="1"/>
  <c r="AB42" i="2" s="1"/>
  <c r="F43" i="2"/>
  <c r="J42" i="2"/>
  <c r="K42" i="2" s="1"/>
  <c r="L40" i="2"/>
  <c r="X44" i="2"/>
  <c r="U44" i="2"/>
  <c r="E44" i="2"/>
  <c r="U43" i="2"/>
  <c r="X43" i="2"/>
  <c r="I44" i="2"/>
  <c r="M44" i="2"/>
  <c r="D45" i="2"/>
  <c r="Q45" i="2" s="1"/>
  <c r="T45" i="2" s="1"/>
  <c r="C46" i="2"/>
  <c r="R46" i="2" s="1"/>
  <c r="AA45" i="2"/>
  <c r="B45" i="2"/>
  <c r="V45" i="2"/>
  <c r="A50" i="2"/>
  <c r="G49" i="2"/>
  <c r="H49" i="2"/>
  <c r="N41" i="2" l="1"/>
  <c r="O41" i="2" s="1"/>
  <c r="F44" i="2"/>
  <c r="S43" i="2"/>
  <c r="W43" i="2" s="1"/>
  <c r="Y43" i="2" s="1"/>
  <c r="Z43" i="2" s="1"/>
  <c r="AB43" i="2" s="1"/>
  <c r="J43" i="2"/>
  <c r="K43" i="2" s="1"/>
  <c r="P40" i="2"/>
  <c r="L41" i="2"/>
  <c r="P41" i="2" s="1"/>
  <c r="T46" i="2"/>
  <c r="X46" i="2"/>
  <c r="X45" i="2"/>
  <c r="U45" i="2"/>
  <c r="D46" i="2"/>
  <c r="I46" i="2" s="1"/>
  <c r="M45" i="2"/>
  <c r="E45" i="2"/>
  <c r="I45" i="2"/>
  <c r="A51" i="2"/>
  <c r="G50" i="2"/>
  <c r="H50" i="2"/>
  <c r="C47" i="2"/>
  <c r="R47" i="2" s="1"/>
  <c r="B46" i="2"/>
  <c r="AA46" i="2"/>
  <c r="V46" i="2"/>
  <c r="N42" i="2" l="1"/>
  <c r="O42" i="2" s="1"/>
  <c r="J44" i="2"/>
  <c r="K44" i="2" s="1"/>
  <c r="S44" i="2"/>
  <c r="W44" i="2" s="1"/>
  <c r="Y44" i="2" s="1"/>
  <c r="Z44" i="2" s="1"/>
  <c r="AB44" i="2" s="1"/>
  <c r="F45" i="2"/>
  <c r="L42" i="2"/>
  <c r="P42" i="2" s="1"/>
  <c r="T47" i="2"/>
  <c r="X47" i="2"/>
  <c r="M46" i="2"/>
  <c r="Q46" i="2"/>
  <c r="U46" i="2" s="1"/>
  <c r="D47" i="2"/>
  <c r="Q47" i="2" s="1"/>
  <c r="U47" i="2" s="1"/>
  <c r="E46" i="2"/>
  <c r="C48" i="2"/>
  <c r="R48" i="2" s="1"/>
  <c r="AA47" i="2"/>
  <c r="B47" i="2"/>
  <c r="V47" i="2"/>
  <c r="A52" i="2"/>
  <c r="G51" i="2"/>
  <c r="H51" i="2"/>
  <c r="N43" i="2" l="1"/>
  <c r="S45" i="2"/>
  <c r="W45" i="2" s="1"/>
  <c r="Y45" i="2" s="1"/>
  <c r="Z45" i="2" s="1"/>
  <c r="AB45" i="2" s="1"/>
  <c r="J45" i="2"/>
  <c r="K45" i="2" s="1"/>
  <c r="F46" i="2"/>
  <c r="I47" i="2"/>
  <c r="L43" i="2"/>
  <c r="T48" i="2"/>
  <c r="X48" i="2"/>
  <c r="E47" i="2"/>
  <c r="D48" i="2"/>
  <c r="Q48" i="2" s="1"/>
  <c r="U48" i="2" s="1"/>
  <c r="M47" i="2"/>
  <c r="C49" i="2"/>
  <c r="R49" i="2" s="1"/>
  <c r="B48" i="2"/>
  <c r="AA48" i="2"/>
  <c r="V48" i="2"/>
  <c r="A53" i="2"/>
  <c r="G52" i="2"/>
  <c r="H52" i="2"/>
  <c r="I48" i="2"/>
  <c r="O43" i="2" l="1"/>
  <c r="N44" i="2"/>
  <c r="O44" i="2" s="1"/>
  <c r="J46" i="2"/>
  <c r="K46" i="2" s="1"/>
  <c r="S46" i="2"/>
  <c r="W46" i="2" s="1"/>
  <c r="Y46" i="2" s="1"/>
  <c r="Z46" i="2" s="1"/>
  <c r="AB46" i="2" s="1"/>
  <c r="F47" i="2"/>
  <c r="P43" i="2"/>
  <c r="L44" i="2"/>
  <c r="E48" i="2"/>
  <c r="M48" i="2"/>
  <c r="T49" i="2"/>
  <c r="X49" i="2"/>
  <c r="A54" i="2"/>
  <c r="G53" i="2"/>
  <c r="H53" i="2"/>
  <c r="C50" i="2"/>
  <c r="R50" i="2" s="1"/>
  <c r="AA49" i="2"/>
  <c r="D49" i="2"/>
  <c r="B49" i="2"/>
  <c r="V49" i="2"/>
  <c r="N45" i="2" l="1"/>
  <c r="O45" i="2" s="1"/>
  <c r="E49" i="2"/>
  <c r="S47" i="2"/>
  <c r="W47" i="2" s="1"/>
  <c r="Y47" i="2" s="1"/>
  <c r="Z47" i="2" s="1"/>
  <c r="AB47" i="2" s="1"/>
  <c r="J47" i="2"/>
  <c r="K47" i="2" s="1"/>
  <c r="F48" i="2"/>
  <c r="P44" i="2"/>
  <c r="L45" i="2"/>
  <c r="T50" i="2"/>
  <c r="X50" i="2"/>
  <c r="Q49" i="2"/>
  <c r="U49" i="2" s="1"/>
  <c r="M49" i="2"/>
  <c r="C51" i="2"/>
  <c r="R51" i="2" s="1"/>
  <c r="AA50" i="2"/>
  <c r="D50" i="2"/>
  <c r="E50" i="2" s="1"/>
  <c r="B50" i="2"/>
  <c r="V50" i="2"/>
  <c r="I49" i="2"/>
  <c r="G54" i="2"/>
  <c r="A55" i="2"/>
  <c r="H54" i="2"/>
  <c r="N46" i="2" l="1"/>
  <c r="O46" i="2" s="1"/>
  <c r="J48" i="2"/>
  <c r="K48" i="2" s="1"/>
  <c r="S48" i="2"/>
  <c r="W48" i="2" s="1"/>
  <c r="Y48" i="2" s="1"/>
  <c r="Z48" i="2" s="1"/>
  <c r="AB48" i="2" s="1"/>
  <c r="F49" i="2"/>
  <c r="P45" i="2"/>
  <c r="L46" i="2"/>
  <c r="T51" i="2"/>
  <c r="X51" i="2"/>
  <c r="Q51" i="2"/>
  <c r="U51" i="2" s="1"/>
  <c r="Q50" i="2"/>
  <c r="U50" i="2" s="1"/>
  <c r="M50" i="2"/>
  <c r="H55" i="2"/>
  <c r="G55" i="2"/>
  <c r="A56" i="2"/>
  <c r="C52" i="2"/>
  <c r="R52" i="2" s="1"/>
  <c r="AA51" i="2"/>
  <c r="D51" i="2"/>
  <c r="E51" i="2" s="1"/>
  <c r="B51" i="2"/>
  <c r="V51" i="2"/>
  <c r="I50" i="2"/>
  <c r="N47" i="2" l="1"/>
  <c r="O47" i="2" s="1"/>
  <c r="J49" i="2"/>
  <c r="K49" i="2" s="1"/>
  <c r="S49" i="2"/>
  <c r="W49" i="2" s="1"/>
  <c r="Y49" i="2" s="1"/>
  <c r="Z49" i="2" s="1"/>
  <c r="AB49" i="2" s="1"/>
  <c r="F50" i="2"/>
  <c r="P46" i="2"/>
  <c r="L47" i="2"/>
  <c r="T52" i="2"/>
  <c r="X52" i="2"/>
  <c r="Q52" i="2"/>
  <c r="U52" i="2" s="1"/>
  <c r="M51" i="2"/>
  <c r="C53" i="2"/>
  <c r="R53" i="2" s="1"/>
  <c r="AA52" i="2"/>
  <c r="D52" i="2"/>
  <c r="B52" i="2"/>
  <c r="V52" i="2"/>
  <c r="I51" i="2"/>
  <c r="A57" i="2"/>
  <c r="H56" i="2"/>
  <c r="G56" i="2"/>
  <c r="N48" i="2" l="1"/>
  <c r="O48" i="2" s="1"/>
  <c r="J50" i="2"/>
  <c r="K50" i="2" s="1"/>
  <c r="S50" i="2"/>
  <c r="W50" i="2" s="1"/>
  <c r="Y50" i="2" s="1"/>
  <c r="Z50" i="2" s="1"/>
  <c r="AB50" i="2" s="1"/>
  <c r="F51" i="2"/>
  <c r="P47" i="2"/>
  <c r="L48" i="2"/>
  <c r="T53" i="2"/>
  <c r="X53" i="2"/>
  <c r="Q53" i="2"/>
  <c r="U53" i="2" s="1"/>
  <c r="M52" i="2"/>
  <c r="I52" i="2"/>
  <c r="H57" i="2"/>
  <c r="A58" i="2"/>
  <c r="G57" i="2"/>
  <c r="E52" i="2"/>
  <c r="C54" i="2"/>
  <c r="R54" i="2" s="1"/>
  <c r="AA53" i="2"/>
  <c r="D53" i="2"/>
  <c r="B53" i="2"/>
  <c r="V53" i="2"/>
  <c r="N49" i="2" l="1"/>
  <c r="O49" i="2" s="1"/>
  <c r="J51" i="2"/>
  <c r="K51" i="2" s="1"/>
  <c r="S51" i="2"/>
  <c r="W51" i="2" s="1"/>
  <c r="Y51" i="2" s="1"/>
  <c r="Z51" i="2" s="1"/>
  <c r="AB51" i="2" s="1"/>
  <c r="F52" i="2"/>
  <c r="P48" i="2"/>
  <c r="L49" i="2"/>
  <c r="T54" i="2"/>
  <c r="X54" i="2"/>
  <c r="Q54" i="2"/>
  <c r="U54" i="2" s="1"/>
  <c r="E53" i="2"/>
  <c r="M53" i="2"/>
  <c r="AA54" i="2"/>
  <c r="F54" i="2"/>
  <c r="D54" i="2"/>
  <c r="C55" i="2"/>
  <c r="R55" i="2" s="1"/>
  <c r="B54" i="2"/>
  <c r="V54" i="2"/>
  <c r="H58" i="2"/>
  <c r="G58" i="2"/>
  <c r="A59" i="2"/>
  <c r="I53" i="2"/>
  <c r="N50" i="2" l="1"/>
  <c r="O50" i="2" s="1"/>
  <c r="J54" i="2"/>
  <c r="S54" i="2"/>
  <c r="J52" i="2"/>
  <c r="K52" i="2" s="1"/>
  <c r="S52" i="2"/>
  <c r="W52" i="2" s="1"/>
  <c r="Y52" i="2" s="1"/>
  <c r="Z52" i="2" s="1"/>
  <c r="AB52" i="2" s="1"/>
  <c r="F53" i="2"/>
  <c r="P49" i="2"/>
  <c r="L50" i="2"/>
  <c r="T55" i="2"/>
  <c r="X55" i="2"/>
  <c r="W54" i="2"/>
  <c r="Y54" i="2" s="1"/>
  <c r="Z54" i="2" s="1"/>
  <c r="AB54" i="2" s="1"/>
  <c r="Q55" i="2"/>
  <c r="U55" i="2" s="1"/>
  <c r="M54" i="2"/>
  <c r="E54" i="2"/>
  <c r="I54" i="2"/>
  <c r="K54" i="2" s="1"/>
  <c r="H59" i="2"/>
  <c r="G59" i="2"/>
  <c r="A60" i="2"/>
  <c r="D55" i="2"/>
  <c r="I55" i="2" s="1"/>
  <c r="B55" i="2"/>
  <c r="C56" i="2"/>
  <c r="R56" i="2" s="1"/>
  <c r="F55" i="2"/>
  <c r="AA55" i="2"/>
  <c r="V55" i="2"/>
  <c r="N51" i="2" l="1"/>
  <c r="O51" i="2" s="1"/>
  <c r="J55" i="2"/>
  <c r="S55" i="2"/>
  <c r="W55" i="2" s="1"/>
  <c r="Y55" i="2" s="1"/>
  <c r="Z55" i="2" s="1"/>
  <c r="AB55" i="2" s="1"/>
  <c r="J53" i="2"/>
  <c r="K53" i="2" s="1"/>
  <c r="S53" i="2"/>
  <c r="W53" i="2" s="1"/>
  <c r="Y53" i="2" s="1"/>
  <c r="Z53" i="2" s="1"/>
  <c r="AB53" i="2" s="1"/>
  <c r="P50" i="2"/>
  <c r="L51" i="2"/>
  <c r="T56" i="2"/>
  <c r="X56" i="2"/>
  <c r="E55" i="2"/>
  <c r="Q56" i="2"/>
  <c r="U56" i="2" s="1"/>
  <c r="K55" i="2"/>
  <c r="M55" i="2"/>
  <c r="N54" i="2"/>
  <c r="O54" i="2" s="1"/>
  <c r="L54" i="2"/>
  <c r="P54" i="2" s="1"/>
  <c r="H60" i="2"/>
  <c r="A61" i="2"/>
  <c r="G60" i="2"/>
  <c r="F56" i="2"/>
  <c r="B56" i="2"/>
  <c r="C57" i="2"/>
  <c r="R57" i="2" s="1"/>
  <c r="D56" i="2"/>
  <c r="E56" i="2" s="1"/>
  <c r="AA56" i="2"/>
  <c r="V56" i="2"/>
  <c r="N52" i="2" l="1"/>
  <c r="O52" i="2" s="1"/>
  <c r="J56" i="2"/>
  <c r="S56" i="2"/>
  <c r="W56" i="2" s="1"/>
  <c r="Y56" i="2" s="1"/>
  <c r="Z56" i="2" s="1"/>
  <c r="AB56" i="2" s="1"/>
  <c r="P51" i="2"/>
  <c r="L52" i="2"/>
  <c r="T57" i="2"/>
  <c r="X57" i="2"/>
  <c r="Q57" i="2"/>
  <c r="U57" i="2" s="1"/>
  <c r="I56" i="2"/>
  <c r="K56" i="2" s="1"/>
  <c r="M56" i="2"/>
  <c r="L55" i="2"/>
  <c r="P55" i="2" s="1"/>
  <c r="N55" i="2"/>
  <c r="O55" i="2" s="1"/>
  <c r="F57" i="2"/>
  <c r="D57" i="2"/>
  <c r="I57" i="2" s="1"/>
  <c r="C58" i="2"/>
  <c r="R58" i="2" s="1"/>
  <c r="B57" i="2"/>
  <c r="AA57" i="2"/>
  <c r="V57" i="2"/>
  <c r="G61" i="2"/>
  <c r="A62" i="2"/>
  <c r="H61" i="2"/>
  <c r="N53" i="2" l="1"/>
  <c r="O53" i="2" s="1"/>
  <c r="J57" i="2"/>
  <c r="S57" i="2"/>
  <c r="W57" i="2" s="1"/>
  <c r="Y57" i="2" s="1"/>
  <c r="Z57" i="2" s="1"/>
  <c r="AB57" i="2" s="1"/>
  <c r="P52" i="2"/>
  <c r="L53" i="2"/>
  <c r="P53" i="2" s="1"/>
  <c r="T58" i="2"/>
  <c r="X58" i="2"/>
  <c r="Q58" i="2"/>
  <c r="U58" i="2" s="1"/>
  <c r="M57" i="2"/>
  <c r="E57" i="2"/>
  <c r="K57" i="2"/>
  <c r="L56" i="2"/>
  <c r="P56" i="2" s="1"/>
  <c r="N56" i="2"/>
  <c r="O56" i="2" s="1"/>
  <c r="D58" i="2"/>
  <c r="F58" i="2"/>
  <c r="B58" i="2"/>
  <c r="AA58" i="2"/>
  <c r="I58" i="2"/>
  <c r="C59" i="2"/>
  <c r="R59" i="2" s="1"/>
  <c r="V58" i="2"/>
  <c r="H62" i="2"/>
  <c r="G62" i="2"/>
  <c r="A63" i="2"/>
  <c r="J58" i="2" l="1"/>
  <c r="S58" i="2"/>
  <c r="W58" i="2" s="1"/>
  <c r="Y58" i="2" s="1"/>
  <c r="Z58" i="2" s="1"/>
  <c r="AB58" i="2" s="1"/>
  <c r="T59" i="2"/>
  <c r="C60" i="2"/>
  <c r="R60" i="2" s="1"/>
  <c r="X59" i="2"/>
  <c r="Q59" i="2"/>
  <c r="U59" i="2" s="1"/>
  <c r="M58" i="2"/>
  <c r="E58" i="2"/>
  <c r="K58" i="2"/>
  <c r="N57" i="2"/>
  <c r="O57" i="2" s="1"/>
  <c r="L57" i="2"/>
  <c r="P57" i="2" s="1"/>
  <c r="A64" i="2"/>
  <c r="H63" i="2"/>
  <c r="G63" i="2"/>
  <c r="F59" i="2"/>
  <c r="B59" i="2"/>
  <c r="D59" i="2"/>
  <c r="AA59" i="2"/>
  <c r="V59" i="2"/>
  <c r="J59" i="2" l="1"/>
  <c r="S59" i="2"/>
  <c r="W59" i="2" s="1"/>
  <c r="Y59" i="2" s="1"/>
  <c r="Z59" i="2" s="1"/>
  <c r="AB59" i="2" s="1"/>
  <c r="T60" i="2"/>
  <c r="X60" i="2"/>
  <c r="Q60" i="2"/>
  <c r="U60" i="2" s="1"/>
  <c r="E59" i="2"/>
  <c r="M59" i="2"/>
  <c r="I59" i="2"/>
  <c r="K59" i="2" s="1"/>
  <c r="L58" i="2"/>
  <c r="P58" i="2" s="1"/>
  <c r="N58" i="2"/>
  <c r="O58" i="2" s="1"/>
  <c r="AA60" i="2"/>
  <c r="D60" i="2"/>
  <c r="F60" i="2"/>
  <c r="S60" i="2" s="1"/>
  <c r="B60" i="2"/>
  <c r="M60" i="2" s="1"/>
  <c r="C61" i="2"/>
  <c r="R61" i="2" s="1"/>
  <c r="V60" i="2"/>
  <c r="H64" i="2"/>
  <c r="A65" i="2"/>
  <c r="G64" i="2"/>
  <c r="T61" i="2" l="1"/>
  <c r="X61" i="2"/>
  <c r="V61" i="2"/>
  <c r="J60" i="2"/>
  <c r="W60" i="2"/>
  <c r="Y60" i="2" s="1"/>
  <c r="Z60" i="2" s="1"/>
  <c r="AB60" i="2" s="1"/>
  <c r="Q61" i="2"/>
  <c r="U61" i="2" s="1"/>
  <c r="E60" i="2"/>
  <c r="I60" i="2"/>
  <c r="L59" i="2"/>
  <c r="P59" i="2" s="1"/>
  <c r="N59" i="2"/>
  <c r="O59" i="2" s="1"/>
  <c r="G65" i="2"/>
  <c r="H65" i="2"/>
  <c r="A66" i="2"/>
  <c r="F61" i="2"/>
  <c r="B61" i="2"/>
  <c r="M61" i="2" s="1"/>
  <c r="D61" i="2"/>
  <c r="AA61" i="2"/>
  <c r="C62" i="2"/>
  <c r="R62" i="2" s="1"/>
  <c r="J61" i="2" l="1"/>
  <c r="S61" i="2"/>
  <c r="K60" i="2"/>
  <c r="L60" i="2" s="1"/>
  <c r="P60" i="2" s="1"/>
  <c r="T62" i="2"/>
  <c r="X62" i="2"/>
  <c r="V62" i="2"/>
  <c r="W61" i="2"/>
  <c r="Y61" i="2" s="1"/>
  <c r="Z61" i="2" s="1"/>
  <c r="AB61" i="2" s="1"/>
  <c r="Q62" i="2"/>
  <c r="U62" i="2" s="1"/>
  <c r="E61" i="2"/>
  <c r="I61" i="2"/>
  <c r="K61" i="2" s="1"/>
  <c r="N60" i="2"/>
  <c r="O60" i="2" s="1"/>
  <c r="H66" i="2"/>
  <c r="G66" i="2"/>
  <c r="A67" i="2"/>
  <c r="D62" i="2"/>
  <c r="B62" i="2"/>
  <c r="M62" i="2" s="1"/>
  <c r="C63" i="2"/>
  <c r="R63" i="2" s="1"/>
  <c r="F62" i="2"/>
  <c r="AA62" i="2"/>
  <c r="J62" i="2" l="1"/>
  <c r="S62" i="2"/>
  <c r="W62" i="2" s="1"/>
  <c r="Y62" i="2" s="1"/>
  <c r="Z62" i="2" s="1"/>
  <c r="AB62" i="2" s="1"/>
  <c r="T63" i="2"/>
  <c r="X63" i="2"/>
  <c r="V63" i="2"/>
  <c r="Q63" i="2"/>
  <c r="U63" i="2" s="1"/>
  <c r="L61" i="2"/>
  <c r="P61" i="2" s="1"/>
  <c r="N61" i="2"/>
  <c r="O61" i="2" s="1"/>
  <c r="I62" i="2"/>
  <c r="K62" i="2" s="1"/>
  <c r="E62" i="2"/>
  <c r="F63" i="2"/>
  <c r="B63" i="2"/>
  <c r="C64" i="2"/>
  <c r="R64" i="2" s="1"/>
  <c r="M63" i="2"/>
  <c r="AA63" i="2"/>
  <c r="D63" i="2"/>
  <c r="I63" i="2"/>
  <c r="H67" i="2"/>
  <c r="A68" i="2"/>
  <c r="G67" i="2"/>
  <c r="J63" i="2" l="1"/>
  <c r="S63" i="2"/>
  <c r="W63" i="2" s="1"/>
  <c r="Y63" i="2" s="1"/>
  <c r="Z63" i="2" s="1"/>
  <c r="AB63" i="2" s="1"/>
  <c r="T64" i="2"/>
  <c r="X64" i="2"/>
  <c r="V64" i="2"/>
  <c r="Q64" i="2"/>
  <c r="U64" i="2" s="1"/>
  <c r="K63" i="2"/>
  <c r="E63" i="2"/>
  <c r="L62" i="2"/>
  <c r="P62" i="2" s="1"/>
  <c r="N62" i="2"/>
  <c r="O62" i="2" s="1"/>
  <c r="D64" i="2"/>
  <c r="I64" i="2" s="1"/>
  <c r="AA64" i="2"/>
  <c r="F64" i="2"/>
  <c r="C65" i="2"/>
  <c r="R65" i="2" s="1"/>
  <c r="E64" i="2"/>
  <c r="B64" i="2"/>
  <c r="M64" i="2" s="1"/>
  <c r="A69" i="2"/>
  <c r="G68" i="2"/>
  <c r="H68" i="2"/>
  <c r="J64" i="2" l="1"/>
  <c r="S64" i="2"/>
  <c r="W64" i="2" s="1"/>
  <c r="Y64" i="2" s="1"/>
  <c r="Z64" i="2" s="1"/>
  <c r="AB64" i="2" s="1"/>
  <c r="T65" i="2"/>
  <c r="X65" i="2"/>
  <c r="V65" i="2"/>
  <c r="Q65" i="2"/>
  <c r="U65" i="2" s="1"/>
  <c r="K64" i="2"/>
  <c r="N63" i="2"/>
  <c r="O63" i="2" s="1"/>
  <c r="L63" i="2"/>
  <c r="P63" i="2" s="1"/>
  <c r="J65" i="2"/>
  <c r="F65" i="2"/>
  <c r="B65" i="2"/>
  <c r="AA65" i="2"/>
  <c r="D65" i="2"/>
  <c r="M65" i="2" s="1"/>
  <c r="C66" i="2"/>
  <c r="R66" i="2" s="1"/>
  <c r="E65" i="2"/>
  <c r="G69" i="2"/>
  <c r="A70" i="2"/>
  <c r="H69" i="2"/>
  <c r="S65" i="2" l="1"/>
  <c r="W65" i="2" s="1"/>
  <c r="Y65" i="2" s="1"/>
  <c r="Z65" i="2" s="1"/>
  <c r="AB65" i="2" s="1"/>
  <c r="T66" i="2"/>
  <c r="X66" i="2"/>
  <c r="Q66" i="2"/>
  <c r="U66" i="2" s="1"/>
  <c r="I65" i="2"/>
  <c r="K65" i="2" s="1"/>
  <c r="N64" i="2"/>
  <c r="O64" i="2" s="1"/>
  <c r="L64" i="2"/>
  <c r="P64" i="2" s="1"/>
  <c r="A71" i="2"/>
  <c r="G70" i="2"/>
  <c r="H70" i="2"/>
  <c r="D66" i="2"/>
  <c r="AA66" i="2"/>
  <c r="J66" i="2"/>
  <c r="K66" i="2" s="1"/>
  <c r="E66" i="2"/>
  <c r="C67" i="2"/>
  <c r="R67" i="2" s="1"/>
  <c r="B66" i="2"/>
  <c r="M66" i="2" s="1"/>
  <c r="I66" i="2"/>
  <c r="F66" i="2"/>
  <c r="S66" i="2" s="1"/>
  <c r="V66" i="2"/>
  <c r="T67" i="2" l="1"/>
  <c r="W66" i="2"/>
  <c r="Y66" i="2" s="1"/>
  <c r="Z66" i="2" s="1"/>
  <c r="AB66" i="2" s="1"/>
  <c r="X67" i="2"/>
  <c r="V67" i="2"/>
  <c r="Q67" i="2"/>
  <c r="U67" i="2" s="1"/>
  <c r="N65" i="2"/>
  <c r="O65" i="2" s="1"/>
  <c r="L65" i="2"/>
  <c r="P65" i="2" s="1"/>
  <c r="C68" i="2"/>
  <c r="R68" i="2" s="1"/>
  <c r="AA67" i="2"/>
  <c r="F67" i="2"/>
  <c r="B67" i="2"/>
  <c r="M67" i="2" s="1"/>
  <c r="D67" i="2"/>
  <c r="I67" i="2"/>
  <c r="G71" i="2"/>
  <c r="A72" i="2"/>
  <c r="H71" i="2"/>
  <c r="J67" i="2" l="1"/>
  <c r="S67" i="2"/>
  <c r="T68" i="2"/>
  <c r="X68" i="2"/>
  <c r="V68" i="2"/>
  <c r="W67" i="2"/>
  <c r="Y67" i="2" s="1"/>
  <c r="Z67" i="2" s="1"/>
  <c r="AB67" i="2" s="1"/>
  <c r="Q68" i="2"/>
  <c r="U68" i="2" s="1"/>
  <c r="K67" i="2"/>
  <c r="E67" i="2"/>
  <c r="L66" i="2"/>
  <c r="P66" i="2" s="1"/>
  <c r="N66" i="2"/>
  <c r="O66" i="2" s="1"/>
  <c r="H72" i="2"/>
  <c r="A73" i="2"/>
  <c r="G72" i="2"/>
  <c r="M68" i="2"/>
  <c r="B68" i="2"/>
  <c r="AA68" i="2"/>
  <c r="E68" i="2"/>
  <c r="F68" i="2"/>
  <c r="I68" i="2"/>
  <c r="C69" i="2"/>
  <c r="R69" i="2" s="1"/>
  <c r="D68" i="2"/>
  <c r="J68" i="2" l="1"/>
  <c r="S68" i="2"/>
  <c r="W68" i="2"/>
  <c r="Y68" i="2" s="1"/>
  <c r="Z68" i="2" s="1"/>
  <c r="AB68" i="2" s="1"/>
  <c r="T69" i="2"/>
  <c r="X69" i="2"/>
  <c r="V69" i="2"/>
  <c r="Q69" i="2"/>
  <c r="U69" i="2" s="1"/>
  <c r="K68" i="2"/>
  <c r="N67" i="2"/>
  <c r="O67" i="2" s="1"/>
  <c r="L67" i="2"/>
  <c r="P67" i="2" s="1"/>
  <c r="A74" i="2"/>
  <c r="G73" i="2"/>
  <c r="H73" i="2"/>
  <c r="C70" i="2"/>
  <c r="R70" i="2" s="1"/>
  <c r="AA69" i="2"/>
  <c r="B69" i="2"/>
  <c r="J69" i="2"/>
  <c r="D69" i="2"/>
  <c r="I69" i="2" s="1"/>
  <c r="F69" i="2"/>
  <c r="S69" i="2" l="1"/>
  <c r="W69" i="2" s="1"/>
  <c r="Y69" i="2" s="1"/>
  <c r="Z69" i="2" s="1"/>
  <c r="AB69" i="2" s="1"/>
  <c r="T70" i="2"/>
  <c r="X70" i="2"/>
  <c r="V70" i="2"/>
  <c r="Q70" i="2"/>
  <c r="U70" i="2" s="1"/>
  <c r="M69" i="2"/>
  <c r="K69" i="2"/>
  <c r="E69" i="2"/>
  <c r="N68" i="2"/>
  <c r="O68" i="2" s="1"/>
  <c r="L68" i="2"/>
  <c r="P68" i="2" s="1"/>
  <c r="H74" i="2"/>
  <c r="A75" i="2"/>
  <c r="G74" i="2"/>
  <c r="AA70" i="2"/>
  <c r="B70" i="2"/>
  <c r="M70" i="2" s="1"/>
  <c r="F70" i="2"/>
  <c r="C71" i="2"/>
  <c r="R71" i="2" s="1"/>
  <c r="D70" i="2"/>
  <c r="J70" i="2" l="1"/>
  <c r="S70" i="2"/>
  <c r="W70" i="2" s="1"/>
  <c r="Y70" i="2" s="1"/>
  <c r="Z70" i="2" s="1"/>
  <c r="AB70" i="2" s="1"/>
  <c r="T71" i="2"/>
  <c r="X71" i="2"/>
  <c r="V71" i="2"/>
  <c r="Q71" i="2"/>
  <c r="U71" i="2" s="1"/>
  <c r="K70" i="2"/>
  <c r="I70" i="2"/>
  <c r="N69" i="2"/>
  <c r="O69" i="2" s="1"/>
  <c r="L69" i="2"/>
  <c r="P69" i="2" s="1"/>
  <c r="E70" i="2"/>
  <c r="C72" i="2"/>
  <c r="R72" i="2" s="1"/>
  <c r="AA71" i="2"/>
  <c r="D71" i="2"/>
  <c r="E71" i="2" s="1"/>
  <c r="B71" i="2"/>
  <c r="M71" i="2" s="1"/>
  <c r="F71" i="2"/>
  <c r="H75" i="2"/>
  <c r="G75" i="2"/>
  <c r="A76" i="2"/>
  <c r="J71" i="2" l="1"/>
  <c r="S71" i="2"/>
  <c r="T72" i="2"/>
  <c r="W71" i="2"/>
  <c r="Y71" i="2" s="1"/>
  <c r="Z71" i="2" s="1"/>
  <c r="AB71" i="2" s="1"/>
  <c r="X72" i="2"/>
  <c r="V72" i="2"/>
  <c r="Q72" i="2"/>
  <c r="U72" i="2" s="1"/>
  <c r="I71" i="2"/>
  <c r="K71" i="2"/>
  <c r="N70" i="2"/>
  <c r="O70" i="2" s="1"/>
  <c r="L70" i="2"/>
  <c r="P70" i="2" s="1"/>
  <c r="H76" i="2"/>
  <c r="A77" i="2"/>
  <c r="G76" i="2"/>
  <c r="D72" i="2"/>
  <c r="C73" i="2"/>
  <c r="R73" i="2" s="1"/>
  <c r="B72" i="2"/>
  <c r="M72" i="2" s="1"/>
  <c r="AA72" i="2"/>
  <c r="F72" i="2"/>
  <c r="I72" i="2"/>
  <c r="E72" i="2"/>
  <c r="J72" i="2" l="1"/>
  <c r="S72" i="2"/>
  <c r="W72" i="2" s="1"/>
  <c r="Y72" i="2" s="1"/>
  <c r="Z72" i="2" s="1"/>
  <c r="AB72" i="2" s="1"/>
  <c r="T73" i="2"/>
  <c r="X73" i="2"/>
  <c r="V73" i="2"/>
  <c r="Q73" i="2"/>
  <c r="U73" i="2" s="1"/>
  <c r="K72" i="2"/>
  <c r="N71" i="2"/>
  <c r="O71" i="2" s="1"/>
  <c r="L71" i="2"/>
  <c r="P71" i="2" s="1"/>
  <c r="F73" i="2"/>
  <c r="B73" i="2"/>
  <c r="M73" i="2" s="1"/>
  <c r="C74" i="2"/>
  <c r="R74" i="2" s="1"/>
  <c r="AA73" i="2"/>
  <c r="E73" i="2"/>
  <c r="D73" i="2"/>
  <c r="G77" i="2"/>
  <c r="A78" i="2"/>
  <c r="H77" i="2"/>
  <c r="J73" i="2" l="1"/>
  <c r="S73" i="2"/>
  <c r="W73" i="2" s="1"/>
  <c r="Y73" i="2" s="1"/>
  <c r="Z73" i="2" s="1"/>
  <c r="AB73" i="2" s="1"/>
  <c r="T74" i="2"/>
  <c r="X74" i="2"/>
  <c r="V74" i="2"/>
  <c r="Q74" i="2"/>
  <c r="U74" i="2" s="1"/>
  <c r="I73" i="2"/>
  <c r="K73" i="2" s="1"/>
  <c r="N72" i="2"/>
  <c r="O72" i="2" s="1"/>
  <c r="L72" i="2"/>
  <c r="P72" i="2" s="1"/>
  <c r="H78" i="2"/>
  <c r="A79" i="2"/>
  <c r="G78" i="2"/>
  <c r="D74" i="2"/>
  <c r="K74" i="2" s="1"/>
  <c r="I74" i="2"/>
  <c r="M74" i="2"/>
  <c r="E74" i="2"/>
  <c r="F74" i="2"/>
  <c r="S74" i="2" s="1"/>
  <c r="AA74" i="2"/>
  <c r="C75" i="2"/>
  <c r="R75" i="2" s="1"/>
  <c r="J74" i="2"/>
  <c r="B74" i="2"/>
  <c r="T75" i="2" l="1"/>
  <c r="W74" i="2"/>
  <c r="Y74" i="2" s="1"/>
  <c r="Z74" i="2" s="1"/>
  <c r="AB74" i="2" s="1"/>
  <c r="X75" i="2"/>
  <c r="V75" i="2"/>
  <c r="Q75" i="2"/>
  <c r="U75" i="2" s="1"/>
  <c r="N73" i="2"/>
  <c r="O73" i="2" s="1"/>
  <c r="L73" i="2"/>
  <c r="P73" i="2" s="1"/>
  <c r="H79" i="2"/>
  <c r="A80" i="2"/>
  <c r="G79" i="2"/>
  <c r="J75" i="2"/>
  <c r="F75" i="2"/>
  <c r="S75" i="2" s="1"/>
  <c r="B75" i="2"/>
  <c r="M75" i="2" s="1"/>
  <c r="C76" i="2"/>
  <c r="R76" i="2" s="1"/>
  <c r="AA75" i="2"/>
  <c r="E75" i="2"/>
  <c r="D75" i="2"/>
  <c r="I75" i="2" s="1"/>
  <c r="K75" i="2" s="1"/>
  <c r="T76" i="2" l="1"/>
  <c r="W75" i="2"/>
  <c r="Y75" i="2" s="1"/>
  <c r="Z75" i="2" s="1"/>
  <c r="AB75" i="2" s="1"/>
  <c r="X76" i="2"/>
  <c r="V76" i="2"/>
  <c r="Q76" i="2"/>
  <c r="U76" i="2" s="1"/>
  <c r="L74" i="2"/>
  <c r="P74" i="2" s="1"/>
  <c r="N74" i="2"/>
  <c r="O74" i="2" s="1"/>
  <c r="H80" i="2"/>
  <c r="A81" i="2"/>
  <c r="G80" i="2"/>
  <c r="D76" i="2"/>
  <c r="AA76" i="2"/>
  <c r="F76" i="2"/>
  <c r="C77" i="2"/>
  <c r="R77" i="2" s="1"/>
  <c r="B76" i="2"/>
  <c r="M76" i="2" s="1"/>
  <c r="E76" i="2"/>
  <c r="J76" i="2" l="1"/>
  <c r="S76" i="2"/>
  <c r="W76" i="2" s="1"/>
  <c r="Y76" i="2" s="1"/>
  <c r="Z76" i="2" s="1"/>
  <c r="AB76" i="2" s="1"/>
  <c r="T77" i="2"/>
  <c r="X77" i="2"/>
  <c r="V77" i="2"/>
  <c r="Q77" i="2"/>
  <c r="U77" i="2" s="1"/>
  <c r="I76" i="2"/>
  <c r="K76" i="2" s="1"/>
  <c r="L75" i="2"/>
  <c r="P75" i="2" s="1"/>
  <c r="N75" i="2"/>
  <c r="O75" i="2" s="1"/>
  <c r="A82" i="2"/>
  <c r="G81" i="2"/>
  <c r="H81" i="2"/>
  <c r="F77" i="2"/>
  <c r="B77" i="2"/>
  <c r="C78" i="2"/>
  <c r="R78" i="2" s="1"/>
  <c r="AA77" i="2"/>
  <c r="M77" i="2"/>
  <c r="E77" i="2"/>
  <c r="D77" i="2"/>
  <c r="I77" i="2" s="1"/>
  <c r="J77" i="2" l="1"/>
  <c r="S77" i="2"/>
  <c r="T78" i="2"/>
  <c r="W77" i="2"/>
  <c r="Y77" i="2" s="1"/>
  <c r="Z77" i="2" s="1"/>
  <c r="AB77" i="2" s="1"/>
  <c r="X78" i="2"/>
  <c r="V78" i="2"/>
  <c r="Q78" i="2"/>
  <c r="U78" i="2" s="1"/>
  <c r="K77" i="2"/>
  <c r="N76" i="2"/>
  <c r="O76" i="2" s="1"/>
  <c r="L76" i="2"/>
  <c r="P76" i="2" s="1"/>
  <c r="D78" i="2"/>
  <c r="E78" i="2"/>
  <c r="I78" i="2"/>
  <c r="C79" i="2"/>
  <c r="R79" i="2" s="1"/>
  <c r="B78" i="2"/>
  <c r="M78" i="2" s="1"/>
  <c r="F78" i="2"/>
  <c r="AA78" i="2"/>
  <c r="H82" i="2"/>
  <c r="G82" i="2"/>
  <c r="J78" i="2" l="1"/>
  <c r="S78" i="2"/>
  <c r="W78" i="2" s="1"/>
  <c r="Y78" i="2" s="1"/>
  <c r="Z78" i="2" s="1"/>
  <c r="AB78" i="2" s="1"/>
  <c r="T79" i="2"/>
  <c r="X79" i="2"/>
  <c r="V79" i="2"/>
  <c r="Q79" i="2"/>
  <c r="U79" i="2" s="1"/>
  <c r="K78" i="2"/>
  <c r="N77" i="2"/>
  <c r="O77" i="2" s="1"/>
  <c r="L77" i="2"/>
  <c r="P77" i="2" s="1"/>
  <c r="F79" i="2"/>
  <c r="B79" i="2"/>
  <c r="C80" i="2"/>
  <c r="R80" i="2" s="1"/>
  <c r="AA79" i="2"/>
  <c r="D79" i="2"/>
  <c r="I79" i="2" s="1"/>
  <c r="J79" i="2" l="1"/>
  <c r="S79" i="2"/>
  <c r="W79" i="2" s="1"/>
  <c r="Y79" i="2" s="1"/>
  <c r="Z79" i="2" s="1"/>
  <c r="AB79" i="2" s="1"/>
  <c r="T80" i="2"/>
  <c r="X80" i="2"/>
  <c r="V80" i="2"/>
  <c r="Q80" i="2"/>
  <c r="U80" i="2" s="1"/>
  <c r="M79" i="2"/>
  <c r="K79" i="2"/>
  <c r="E79" i="2"/>
  <c r="L78" i="2"/>
  <c r="P78" i="2" s="1"/>
  <c r="N78" i="2"/>
  <c r="O78" i="2" s="1"/>
  <c r="D80" i="2"/>
  <c r="K80" i="2" s="1"/>
  <c r="C81" i="2"/>
  <c r="R81" i="2" s="1"/>
  <c r="J80" i="2"/>
  <c r="B80" i="2"/>
  <c r="M80" i="2" s="1"/>
  <c r="AA80" i="2"/>
  <c r="F80" i="2"/>
  <c r="S80" i="2" s="1"/>
  <c r="I80" i="2"/>
  <c r="T81" i="2" l="1"/>
  <c r="W80" i="2"/>
  <c r="Y80" i="2" s="1"/>
  <c r="Z80" i="2" s="1"/>
  <c r="AB80" i="2" s="1"/>
  <c r="X81" i="2"/>
  <c r="V81" i="2"/>
  <c r="Q81" i="2"/>
  <c r="U81" i="2" s="1"/>
  <c r="E80" i="2"/>
  <c r="N79" i="2"/>
  <c r="O79" i="2" s="1"/>
  <c r="L79" i="2"/>
  <c r="P79" i="2" s="1"/>
  <c r="F81" i="2"/>
  <c r="B81" i="2"/>
  <c r="C82" i="2"/>
  <c r="R82" i="2" s="1"/>
  <c r="AA81" i="2"/>
  <c r="M81" i="2"/>
  <c r="I81" i="2"/>
  <c r="E81" i="2"/>
  <c r="D81" i="2"/>
  <c r="J81" i="2" l="1"/>
  <c r="S81" i="2"/>
  <c r="T82" i="2"/>
  <c r="W81" i="2"/>
  <c r="Y81" i="2" s="1"/>
  <c r="Z81" i="2" s="1"/>
  <c r="X82" i="2"/>
  <c r="V82" i="2"/>
  <c r="N82" i="2"/>
  <c r="Q82" i="2"/>
  <c r="U82" i="2" s="1"/>
  <c r="AB81" i="2"/>
  <c r="K81" i="2"/>
  <c r="N80" i="2"/>
  <c r="O80" i="2" s="1"/>
  <c r="L80" i="2"/>
  <c r="P80" i="2" s="1"/>
  <c r="L82" i="2"/>
  <c r="P82" i="2" s="1"/>
  <c r="D82" i="2"/>
  <c r="K82" i="2"/>
  <c r="AB82" i="2"/>
  <c r="I82" i="2"/>
  <c r="M82" i="2"/>
  <c r="E82" i="2"/>
  <c r="AA82" i="2"/>
  <c r="F82" i="2"/>
  <c r="S82" i="2" s="1"/>
  <c r="B82" i="2"/>
  <c r="J82" i="2"/>
  <c r="W82" i="2" l="1"/>
  <c r="Y82" i="2" s="1"/>
  <c r="Z82" i="2" s="1"/>
  <c r="L81" i="2"/>
  <c r="P81" i="2" s="1"/>
  <c r="N81" i="2"/>
  <c r="O81" i="2" s="1"/>
  <c r="O82" i="2"/>
</calcChain>
</file>

<file path=xl/sharedStrings.xml><?xml version="1.0" encoding="utf-8"?>
<sst xmlns="http://schemas.openxmlformats.org/spreadsheetml/2006/main" count="168" uniqueCount="114">
  <si>
    <t>X</t>
  </si>
  <si>
    <t>تعداد زنده ها</t>
  </si>
  <si>
    <t>تعداد فوتیها</t>
  </si>
  <si>
    <t>نرخ امراض</t>
  </si>
  <si>
    <t>نرخ ازکارافتادگی</t>
  </si>
  <si>
    <t>سن</t>
  </si>
  <si>
    <t>تعدیل حق‌بیمه</t>
  </si>
  <si>
    <t>تعدیل سرمایه فوت</t>
  </si>
  <si>
    <t>حق‌بیمه</t>
  </si>
  <si>
    <t>ضریب سرمایه فوت</t>
  </si>
  <si>
    <t>اضافه نرخ پزشکی</t>
  </si>
  <si>
    <t>دارای پوشش امراض خاص</t>
  </si>
  <si>
    <t>دارای پوشش فوت حادثی خطرات اضافی</t>
  </si>
  <si>
    <t>سال سنوات گذشته</t>
  </si>
  <si>
    <t>ماه سنوات گذشته</t>
  </si>
  <si>
    <t>نوع پرداخت</t>
  </si>
  <si>
    <t>جمع حق مشارکت پرداختی</t>
  </si>
  <si>
    <t>هزینه فروش</t>
  </si>
  <si>
    <t>هزینه اداری</t>
  </si>
  <si>
    <t>جدول آفلاین سنوات بازنشستگی بیمه سامان</t>
  </si>
  <si>
    <t>هزینه بیمه‌گری</t>
  </si>
  <si>
    <t>ضریب اداری</t>
  </si>
  <si>
    <t>ضریب بیمه‌گری</t>
  </si>
  <si>
    <t>حق‌بیمه خطر فوت</t>
  </si>
  <si>
    <t>احتمال فوت</t>
  </si>
  <si>
    <t>ارزش سرمایه‌گذاری</t>
  </si>
  <si>
    <t>اندوخته در پایان هر سال</t>
  </si>
  <si>
    <t>نرخ تضمین 2 سال اول</t>
  </si>
  <si>
    <t>نرخ تضمین 2 سال دوم</t>
  </si>
  <si>
    <t>نرخ تضمین سال پنجم به بعد</t>
  </si>
  <si>
    <t>اندوخته سنوات در پایان هر سال</t>
  </si>
  <si>
    <t>ارزش بازخریدی در پایان هر سال</t>
  </si>
  <si>
    <t>سال</t>
  </si>
  <si>
    <t>درصد جریمه</t>
  </si>
  <si>
    <t>اندوخته مازاد پایان هر سال</t>
  </si>
  <si>
    <t>سرمایه فوت ناشی از حادثه</t>
  </si>
  <si>
    <t>سرمایه ازکارافتادگی</t>
  </si>
  <si>
    <t>سقف سن ازکارافتادگی</t>
  </si>
  <si>
    <t>حق‌بیمه فوت ناشی از حادثه</t>
  </si>
  <si>
    <t>حق‌بیمه امراض خاص</t>
  </si>
  <si>
    <t>سقف سن از امراض خاص</t>
  </si>
  <si>
    <t>سال بیمه‌ای</t>
  </si>
  <si>
    <t>سقف سن فوت</t>
  </si>
  <si>
    <t>حق‌بیمه ازکارافتادگی دائم ناشی از حادثه</t>
  </si>
  <si>
    <t>حق‌بیمه هزینه پزشکی ناشی از حادثه</t>
  </si>
  <si>
    <t>سرمایه هزینه پزشکی ناشی از حادثه</t>
  </si>
  <si>
    <t>درصد معافیت</t>
  </si>
  <si>
    <t>درصد از کار افتادگی</t>
  </si>
  <si>
    <t>درصد فوت حادثه</t>
  </si>
  <si>
    <t>طبقه شغلی</t>
  </si>
  <si>
    <t>طبقه پنج</t>
  </si>
  <si>
    <t>طبقه چهار</t>
  </si>
  <si>
    <t>طبقه دو از کار افتادگی</t>
  </si>
  <si>
    <t>طبقه دو کلی</t>
  </si>
  <si>
    <t>طبقه سه از کار افتادگی</t>
  </si>
  <si>
    <t>طبقه سه کلی</t>
  </si>
  <si>
    <t>طبقه شش</t>
  </si>
  <si>
    <t>طبقه یک</t>
  </si>
  <si>
    <t>سالانه</t>
  </si>
  <si>
    <t>ضریب تقسیط</t>
  </si>
  <si>
    <t>روش پرداخت</t>
  </si>
  <si>
    <t>سه ماهه</t>
  </si>
  <si>
    <t>شش ماهه</t>
  </si>
  <si>
    <t>ماهانه</t>
  </si>
  <si>
    <t>هزینه تقسیط</t>
  </si>
  <si>
    <t>کل هزینه‌ها</t>
  </si>
  <si>
    <t>تعداد اقساط در هر سال</t>
  </si>
  <si>
    <t>تعداد پرداخت</t>
  </si>
  <si>
    <t>مبلغ هر قسط</t>
  </si>
  <si>
    <t>ضریب هزینه پزشکی ناشی از حادثه</t>
  </si>
  <si>
    <t>ضریب پوشش امراض</t>
  </si>
  <si>
    <t>ضریب درآمد ازکارافتادگی</t>
  </si>
  <si>
    <t>ضریب  پوشش فوت حادثی</t>
  </si>
  <si>
    <t>سال سنوات</t>
  </si>
  <si>
    <t>اندوخته بر اساس متوسط سود قطعی 5 سال آخر</t>
  </si>
  <si>
    <t>سقف سن فوت حادثی</t>
  </si>
  <si>
    <t>مضرب اقساط</t>
  </si>
  <si>
    <t>متوسط نرخ قطعی 5 سال گذشته</t>
  </si>
  <si>
    <t>صفحه 1 از 2</t>
  </si>
  <si>
    <t>صفحه 2 از 2</t>
  </si>
  <si>
    <r>
      <t xml:space="preserve">کد مدرک : </t>
    </r>
    <r>
      <rPr>
        <b/>
        <sz val="12"/>
        <color theme="1"/>
        <rFont val="Times New Roman"/>
        <family val="1"/>
      </rPr>
      <t>LIF170</t>
    </r>
  </si>
  <si>
    <r>
      <t xml:space="preserve">بیمه سامان
</t>
    </r>
    <r>
      <rPr>
        <b/>
        <sz val="14"/>
        <color theme="1"/>
        <rFont val="B Titr"/>
        <charset val="178"/>
      </rPr>
      <t xml:space="preserve">فرم جدول آفلاین بیمه نامه سنوات </t>
    </r>
  </si>
  <si>
    <t>دارای ازکارافتادگی حادثی</t>
  </si>
  <si>
    <t>اندوخته مازاد پایان هر سال (بر اساس متوسط سود قطعی 5 سال آخر)</t>
  </si>
  <si>
    <t>اندوخته در پایان هر سال (بر اساس نرخ تضمین)</t>
  </si>
  <si>
    <t>طرح</t>
  </si>
  <si>
    <t>سود قطعی بر حسب سال</t>
  </si>
  <si>
    <t>رشد</t>
  </si>
  <si>
    <t>نرخ سال پنجم به بعد</t>
  </si>
  <si>
    <t>نرخ دو سال دوم</t>
  </si>
  <si>
    <t>نرخ دو سال اول</t>
  </si>
  <si>
    <t>متوسط قطعی 5 سال آخر</t>
  </si>
  <si>
    <t>سبد سرمایه گذاری</t>
  </si>
  <si>
    <t>-</t>
  </si>
  <si>
    <t>صندوق</t>
  </si>
  <si>
    <t>تضمین</t>
  </si>
  <si>
    <t>عملکرد سرمایه گذاری</t>
  </si>
  <si>
    <t>حداکثر سن برای هزینه پزشکی</t>
  </si>
  <si>
    <t>نرخ امراض پایه برای هر 1000000 ریال سرمایه</t>
  </si>
  <si>
    <t>نرخ امراض آسایش برای هر 1000000 ریال سرمایه</t>
  </si>
  <si>
    <t>نرخ امراض ممتاز برای هر 1000000 ریال سرمایه</t>
  </si>
  <si>
    <t xml:space="preserve">آسایش </t>
  </si>
  <si>
    <t>طرح امراض</t>
  </si>
  <si>
    <t>پرريسک</t>
  </si>
  <si>
    <t>رشد1</t>
  </si>
  <si>
    <t>کم_ريسک</t>
  </si>
  <si>
    <t>متوسط_ريسک</t>
  </si>
  <si>
    <t>معمولی</t>
  </si>
  <si>
    <t>پایه</t>
  </si>
  <si>
    <t>ممتاز</t>
  </si>
  <si>
    <r>
      <rPr>
        <b/>
        <sz val="12"/>
        <color theme="1"/>
        <rFont val="B Nazanin"/>
        <charset val="178"/>
      </rPr>
      <t>بیمه سامان</t>
    </r>
    <r>
      <rPr>
        <b/>
        <sz val="14"/>
        <color theme="1"/>
        <rFont val="B Titr"/>
        <charset val="178"/>
      </rPr>
      <t xml:space="preserve">
فرم جدول آفلاین بیمه نامه سنوات (بدون پوششهای تکمیلی) </t>
    </r>
  </si>
  <si>
    <t>بله</t>
  </si>
  <si>
    <t>شماره تجدید نظر :05</t>
  </si>
  <si>
    <r>
      <t xml:space="preserve">شماره تجدید نظر : </t>
    </r>
    <r>
      <rPr>
        <b/>
        <sz val="12"/>
        <color theme="1"/>
        <rFont val="Times New Roman"/>
        <family val="1"/>
      </rPr>
      <t>05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</si>
</sst>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.0%"/>
    <numFmt numFmtId="165" formatCode="#,##0.00000"/>
    <numFmt numFmtId="166" formatCode="_(* #,##0_);_(* \(#,##0\);_(* &quot;-&quot;??_);_(@_)"/>
    <numFmt numFmtId="167" formatCode="#,##0_-[$ريال-429];#,##0\-[$ريال-429]"/>
  </numFmts>
  <fonts count="21" x14ac:knownFonts="1">
    <font>
      <sz val="11"/>
      <color theme="1"/>
      <name val="Calibri"/>
      <family val="2"/>
      <scheme val="minor"/>
    </font>
    <font>
      <b/>
      <sz val="10"/>
      <name val="B Mitra"/>
      <charset val="178"/>
    </font>
    <font>
      <b/>
      <sz val="10"/>
      <color theme="1"/>
      <name val="B Mitra"/>
      <charset val="178"/>
    </font>
    <font>
      <sz val="10"/>
      <color theme="1"/>
      <name val="Cambria"/>
      <family val="1"/>
      <scheme val="major"/>
    </font>
    <font>
      <b/>
      <sz val="10"/>
      <name val="Cambria"/>
      <family val="1"/>
      <scheme val="major"/>
    </font>
    <font>
      <b/>
      <sz val="18"/>
      <color theme="1"/>
      <name val="B Titr"/>
      <charset val="178"/>
    </font>
    <font>
      <sz val="11"/>
      <color theme="1"/>
      <name val="B Mitra"/>
      <charset val="178"/>
    </font>
    <font>
      <sz val="11"/>
      <color theme="1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B Nazanin"/>
      <charset val="178"/>
    </font>
    <font>
      <b/>
      <sz val="10"/>
      <color theme="1"/>
      <name val="B Nazanin"/>
      <charset val="178"/>
    </font>
    <font>
      <sz val="12"/>
      <color theme="1"/>
      <name val="Calibri"/>
      <family val="2"/>
      <scheme val="minor"/>
    </font>
    <font>
      <sz val="12"/>
      <color theme="1"/>
      <name val="B Nazanin"/>
      <charset val="178"/>
    </font>
    <font>
      <b/>
      <sz val="12"/>
      <color theme="1"/>
      <name val="B Nazanin"/>
      <charset val="178"/>
    </font>
    <font>
      <b/>
      <sz val="14"/>
      <color theme="1"/>
      <name val="B Titr"/>
      <charset val="178"/>
    </font>
    <font>
      <b/>
      <sz val="12"/>
      <color theme="1"/>
      <name val="Times New Roman"/>
      <family val="1"/>
    </font>
    <font>
      <sz val="11"/>
      <color rgb="FF00B0F0"/>
      <name val="Times New Roman"/>
      <family val="1"/>
    </font>
    <font>
      <sz val="11"/>
      <color indexed="16"/>
      <name val="B Nazanin"/>
      <charset val="178"/>
    </font>
    <font>
      <sz val="11"/>
      <color rgb="FF00B0F0"/>
      <name val="Calibri"/>
      <family val="2"/>
      <scheme val="minor"/>
    </font>
    <font>
      <sz val="11"/>
      <color rgb="FF00B0F0"/>
      <name val="B Mitra"/>
      <charset val="178"/>
    </font>
    <font>
      <sz val="11"/>
      <color rgb="FF00B0F0"/>
      <name val="Times New Roman"/>
      <family val="1"/>
      <charset val="178"/>
    </font>
  </fonts>
  <fills count="11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theme="4" tint="-0.24994659260841701"/>
      </left>
      <right style="medium">
        <color theme="4" tint="-0.24994659260841701"/>
      </right>
      <top style="medium">
        <color theme="4" tint="-0.24994659260841701"/>
      </top>
      <bottom style="medium">
        <color theme="4" tint="-0.24994659260841701"/>
      </bottom>
      <diagonal/>
    </border>
  </borders>
  <cellStyleXfs count="3">
    <xf numFmtId="0" fontId="0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</cellStyleXfs>
  <cellXfs count="131">
    <xf numFmtId="0" fontId="0" fillId="0" borderId="0" xfId="0"/>
    <xf numFmtId="0" fontId="9" fillId="0" borderId="0" xfId="0" applyFont="1" applyProtection="1">
      <protection hidden="1"/>
    </xf>
    <xf numFmtId="0" fontId="5" fillId="0" borderId="0" xfId="0" applyFont="1" applyAlignment="1" applyProtection="1">
      <alignment horizontal="center" vertical="center" wrapText="1"/>
      <protection hidden="1"/>
    </xf>
    <xf numFmtId="0" fontId="10" fillId="5" borderId="12" xfId="0" applyFont="1" applyFill="1" applyBorder="1" applyAlignment="1" applyProtection="1">
      <alignment horizontal="center" vertical="center" wrapText="1"/>
      <protection hidden="1"/>
    </xf>
    <xf numFmtId="0" fontId="10" fillId="5" borderId="25" xfId="0" applyFont="1" applyFill="1" applyBorder="1" applyAlignment="1" applyProtection="1">
      <alignment horizontal="center" vertical="center" wrapText="1"/>
      <protection hidden="1"/>
    </xf>
    <xf numFmtId="0" fontId="10" fillId="5" borderId="25" xfId="0" applyFont="1" applyFill="1" applyBorder="1" applyAlignment="1" applyProtection="1">
      <alignment horizontal="center" vertical="center"/>
      <protection hidden="1"/>
    </xf>
    <xf numFmtId="0" fontId="10" fillId="5" borderId="13" xfId="0" applyFont="1" applyFill="1" applyBorder="1" applyAlignment="1" applyProtection="1">
      <alignment horizontal="center" vertical="center" wrapText="1"/>
      <protection hidden="1"/>
    </xf>
    <xf numFmtId="0" fontId="9" fillId="0" borderId="26" xfId="0" applyFont="1" applyBorder="1" applyAlignment="1" applyProtection="1">
      <alignment horizontal="center" vertical="center"/>
      <protection hidden="1"/>
    </xf>
    <xf numFmtId="0" fontId="9" fillId="0" borderId="3" xfId="0" applyFont="1" applyBorder="1" applyAlignment="1" applyProtection="1">
      <alignment horizontal="center" vertical="center"/>
      <protection hidden="1"/>
    </xf>
    <xf numFmtId="3" fontId="9" fillId="0" borderId="3" xfId="0" applyNumberFormat="1" applyFont="1" applyBorder="1" applyAlignment="1" applyProtection="1">
      <alignment horizontal="center" vertical="center"/>
      <protection hidden="1"/>
    </xf>
    <xf numFmtId="3" fontId="9" fillId="0" borderId="27" xfId="0" applyNumberFormat="1" applyFont="1" applyBorder="1" applyAlignment="1" applyProtection="1">
      <alignment horizontal="center" vertical="center"/>
      <protection hidden="1"/>
    </xf>
    <xf numFmtId="0" fontId="9" fillId="0" borderId="18" xfId="0" applyFont="1" applyBorder="1" applyAlignment="1" applyProtection="1">
      <alignment horizontal="center" vertical="center"/>
      <protection hidden="1"/>
    </xf>
    <xf numFmtId="0" fontId="9" fillId="0" borderId="1" xfId="0" applyFont="1" applyBorder="1" applyAlignment="1" applyProtection="1">
      <alignment horizontal="center" vertical="center"/>
      <protection hidden="1"/>
    </xf>
    <xf numFmtId="3" fontId="9" fillId="0" borderId="1" xfId="0" applyNumberFormat="1" applyFont="1" applyBorder="1" applyAlignment="1" applyProtection="1">
      <alignment horizontal="center" vertical="center"/>
      <protection hidden="1"/>
    </xf>
    <xf numFmtId="3" fontId="9" fillId="0" borderId="19" xfId="0" applyNumberFormat="1" applyFont="1" applyBorder="1" applyAlignment="1" applyProtection="1">
      <alignment horizontal="center" vertical="center"/>
      <protection hidden="1"/>
    </xf>
    <xf numFmtId="9" fontId="9" fillId="0" borderId="0" xfId="1" applyFont="1" applyProtection="1"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3" fillId="0" borderId="1" xfId="0" applyFont="1" applyBorder="1" applyAlignment="1" applyProtection="1">
      <alignment horizontal="center" vertical="center"/>
      <protection hidden="1"/>
    </xf>
    <xf numFmtId="3" fontId="3" fillId="0" borderId="1" xfId="0" applyNumberFormat="1" applyFont="1" applyBorder="1" applyAlignment="1" applyProtection="1">
      <alignment horizontal="center" vertical="center"/>
      <protection hidden="1"/>
    </xf>
    <xf numFmtId="0" fontId="11" fillId="0" borderId="0" xfId="0" applyFont="1" applyProtection="1">
      <protection hidden="1"/>
    </xf>
    <xf numFmtId="0" fontId="12" fillId="8" borderId="5" xfId="0" applyFont="1" applyFill="1" applyBorder="1" applyProtection="1">
      <protection hidden="1"/>
    </xf>
    <xf numFmtId="0" fontId="12" fillId="8" borderId="6" xfId="0" applyFont="1" applyFill="1" applyBorder="1" applyProtection="1">
      <protection hidden="1"/>
    </xf>
    <xf numFmtId="0" fontId="12" fillId="8" borderId="7" xfId="0" applyFont="1" applyFill="1" applyBorder="1" applyProtection="1">
      <protection hidden="1"/>
    </xf>
    <xf numFmtId="0" fontId="12" fillId="8" borderId="8" xfId="0" applyFont="1" applyFill="1" applyBorder="1" applyProtection="1">
      <protection hidden="1"/>
    </xf>
    <xf numFmtId="0" fontId="12" fillId="8" borderId="0" xfId="0" applyFont="1" applyFill="1" applyProtection="1">
      <protection hidden="1"/>
    </xf>
    <xf numFmtId="0" fontId="12" fillId="8" borderId="4" xfId="0" applyFont="1" applyFill="1" applyBorder="1" applyProtection="1">
      <protection hidden="1"/>
    </xf>
    <xf numFmtId="0" fontId="13" fillId="8" borderId="0" xfId="0" applyFont="1" applyFill="1" applyAlignment="1" applyProtection="1">
      <alignment horizontal="center" vertical="center"/>
      <protection hidden="1"/>
    </xf>
    <xf numFmtId="0" fontId="12" fillId="8" borderId="0" xfId="0" applyFont="1" applyFill="1" applyAlignment="1" applyProtection="1">
      <alignment horizontal="center" vertical="center"/>
      <protection hidden="1"/>
    </xf>
    <xf numFmtId="0" fontId="13" fillId="5" borderId="18" xfId="0" applyFont="1" applyFill="1" applyBorder="1" applyAlignment="1" applyProtection="1">
      <alignment horizontal="center" vertical="center"/>
      <protection hidden="1"/>
    </xf>
    <xf numFmtId="0" fontId="13" fillId="5" borderId="16" xfId="0" applyFont="1" applyFill="1" applyBorder="1" applyAlignment="1" applyProtection="1">
      <alignment horizontal="center" vertical="center"/>
      <protection hidden="1"/>
    </xf>
    <xf numFmtId="0" fontId="12" fillId="8" borderId="9" xfId="0" applyFont="1" applyFill="1" applyBorder="1" applyProtection="1">
      <protection hidden="1"/>
    </xf>
    <xf numFmtId="0" fontId="12" fillId="8" borderId="10" xfId="0" applyFont="1" applyFill="1" applyBorder="1" applyProtection="1">
      <protection hidden="1"/>
    </xf>
    <xf numFmtId="0" fontId="12" fillId="8" borderId="11" xfId="0" applyFont="1" applyFill="1" applyBorder="1" applyProtection="1">
      <protection hidden="1"/>
    </xf>
    <xf numFmtId="0" fontId="7" fillId="0" borderId="1" xfId="0" applyFont="1" applyBorder="1" applyAlignment="1" applyProtection="1">
      <alignment horizontal="center" vertical="center"/>
      <protection hidden="1"/>
    </xf>
    <xf numFmtId="0" fontId="6" fillId="7" borderId="1" xfId="0" applyFont="1" applyFill="1" applyBorder="1" applyAlignment="1" applyProtection="1">
      <alignment horizontal="center" vertical="center"/>
      <protection hidden="1"/>
    </xf>
    <xf numFmtId="0" fontId="16" fillId="0" borderId="1" xfId="0" applyFont="1" applyBorder="1" applyAlignment="1" applyProtection="1">
      <alignment horizontal="center" vertical="center"/>
      <protection hidden="1"/>
    </xf>
    <xf numFmtId="164" fontId="7" fillId="0" borderId="1" xfId="1" applyNumberFormat="1" applyFont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164" fontId="0" fillId="0" borderId="1" xfId="1" applyNumberFormat="1" applyFont="1" applyBorder="1" applyAlignment="1" applyProtection="1">
      <alignment horizontal="center" vertical="center"/>
      <protection hidden="1"/>
    </xf>
    <xf numFmtId="0" fontId="6" fillId="9" borderId="1" xfId="0" applyFont="1" applyFill="1" applyBorder="1" applyAlignment="1" applyProtection="1">
      <alignment horizontal="center" vertical="center" wrapText="1"/>
      <protection hidden="1"/>
    </xf>
    <xf numFmtId="0" fontId="7" fillId="10" borderId="1" xfId="0" applyFont="1" applyFill="1" applyBorder="1" applyAlignment="1" applyProtection="1">
      <alignment horizontal="center" vertical="center"/>
      <protection hidden="1"/>
    </xf>
    <xf numFmtId="3" fontId="17" fillId="0" borderId="28" xfId="0" applyNumberFormat="1" applyFont="1" applyBorder="1" applyAlignment="1" applyProtection="1">
      <alignment horizontal="center" vertical="center" wrapText="1"/>
      <protection locked="0"/>
    </xf>
    <xf numFmtId="0" fontId="9" fillId="7" borderId="1" xfId="0" applyFont="1" applyFill="1" applyBorder="1" applyAlignment="1" applyProtection="1">
      <alignment horizontal="center" vertical="center"/>
      <protection hidden="1"/>
    </xf>
    <xf numFmtId="164" fontId="16" fillId="0" borderId="1" xfId="1" applyNumberFormat="1" applyFont="1" applyBorder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horizontal="center" vertical="center"/>
      <protection hidden="1"/>
    </xf>
    <xf numFmtId="164" fontId="18" fillId="0" borderId="1" xfId="1" applyNumberFormat="1" applyFont="1" applyBorder="1" applyAlignment="1" applyProtection="1">
      <alignment horizontal="center" vertical="center"/>
      <protection hidden="1"/>
    </xf>
    <xf numFmtId="0" fontId="13" fillId="0" borderId="20" xfId="0" applyFont="1" applyBorder="1" applyAlignment="1" applyProtection="1">
      <alignment horizontal="center" vertical="center"/>
      <protection locked="0"/>
    </xf>
    <xf numFmtId="164" fontId="13" fillId="0" borderId="22" xfId="0" applyNumberFormat="1" applyFont="1" applyBorder="1" applyAlignment="1" applyProtection="1">
      <alignment horizontal="center" vertical="center"/>
      <protection locked="0"/>
    </xf>
    <xf numFmtId="164" fontId="13" fillId="0" borderId="23" xfId="0" applyNumberFormat="1" applyFont="1" applyBorder="1" applyAlignment="1" applyProtection="1">
      <alignment horizontal="center" vertical="center"/>
      <protection locked="0"/>
    </xf>
    <xf numFmtId="167" fontId="13" fillId="0" borderId="22" xfId="0" applyNumberFormat="1" applyFont="1" applyBorder="1" applyAlignment="1" applyProtection="1">
      <alignment horizontal="center" vertical="center"/>
      <protection locked="0"/>
    </xf>
    <xf numFmtId="0" fontId="13" fillId="0" borderId="23" xfId="0" applyFont="1" applyBorder="1" applyAlignment="1" applyProtection="1">
      <alignment horizontal="center" vertical="center"/>
      <protection locked="0"/>
    </xf>
    <xf numFmtId="0" fontId="13" fillId="0" borderId="22" xfId="0" applyFont="1" applyBorder="1" applyAlignment="1" applyProtection="1">
      <alignment horizontal="center" vertical="center"/>
      <protection locked="0"/>
    </xf>
    <xf numFmtId="0" fontId="13" fillId="0" borderId="19" xfId="0" applyFont="1" applyBorder="1" applyAlignment="1" applyProtection="1">
      <alignment horizontal="center" vertical="center"/>
      <protection locked="0"/>
    </xf>
    <xf numFmtId="0" fontId="13" fillId="0" borderId="24" xfId="0" applyFont="1" applyBorder="1" applyAlignment="1" applyProtection="1">
      <alignment horizontal="center" vertical="center"/>
      <protection locked="0"/>
    </xf>
    <xf numFmtId="0" fontId="13" fillId="0" borderId="17" xfId="0" applyFont="1" applyBorder="1" applyAlignment="1" applyProtection="1">
      <alignment horizontal="center" vertical="center"/>
      <protection locked="0"/>
    </xf>
    <xf numFmtId="164" fontId="13" fillId="0" borderId="23" xfId="0" applyNumberFormat="1" applyFont="1" applyBorder="1" applyAlignment="1" applyProtection="1">
      <alignment horizontal="center" vertical="center"/>
      <protection hidden="1"/>
    </xf>
    <xf numFmtId="0" fontId="4" fillId="2" borderId="1" xfId="0" applyFont="1" applyFill="1" applyBorder="1" applyAlignment="1" applyProtection="1">
      <alignment horizontal="center" vertical="center"/>
      <protection hidden="1"/>
    </xf>
    <xf numFmtId="3" fontId="1" fillId="2" borderId="1" xfId="0" applyNumberFormat="1" applyFont="1" applyFill="1" applyBorder="1" applyAlignment="1" applyProtection="1">
      <alignment horizontal="center" vertical="center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0" borderId="0" xfId="0" applyFont="1" applyProtection="1">
      <protection hidden="1"/>
    </xf>
    <xf numFmtId="0" fontId="2" fillId="3" borderId="1" xfId="0" applyFont="1" applyFill="1" applyBorder="1" applyAlignment="1" applyProtection="1">
      <alignment horizontal="center" vertical="center"/>
      <protection hidden="1"/>
    </xf>
    <xf numFmtId="0" fontId="2" fillId="4" borderId="1" xfId="0" applyFont="1" applyFill="1" applyBorder="1" applyAlignment="1" applyProtection="1">
      <alignment horizontal="center" vertical="center"/>
      <protection hidden="1"/>
    </xf>
    <xf numFmtId="0" fontId="6" fillId="6" borderId="1" xfId="0" applyFont="1" applyFill="1" applyBorder="1" applyAlignment="1" applyProtection="1">
      <alignment horizontal="center" vertical="center"/>
      <protection hidden="1"/>
    </xf>
    <xf numFmtId="0" fontId="6" fillId="6" borderId="0" xfId="0" applyFont="1" applyFill="1" applyAlignment="1" applyProtection="1">
      <alignment horizontal="center" vertical="center"/>
      <protection hidden="1"/>
    </xf>
    <xf numFmtId="0" fontId="2" fillId="3" borderId="1" xfId="0" applyFont="1" applyFill="1" applyBorder="1" applyAlignment="1" applyProtection="1">
      <alignment horizontal="center" vertical="center" wrapText="1"/>
      <protection hidden="1"/>
    </xf>
    <xf numFmtId="0" fontId="3" fillId="5" borderId="1" xfId="0" applyFont="1" applyFill="1" applyBorder="1" applyAlignment="1" applyProtection="1">
      <alignment horizontal="center" vertical="center"/>
      <protection hidden="1"/>
    </xf>
    <xf numFmtId="3" fontId="3" fillId="5" borderId="1" xfId="0" applyNumberFormat="1" applyFont="1" applyFill="1" applyBorder="1" applyAlignment="1" applyProtection="1">
      <alignment horizontal="center" vertical="center"/>
      <protection hidden="1"/>
    </xf>
    <xf numFmtId="165" fontId="3" fillId="5" borderId="1" xfId="0" applyNumberFormat="1" applyFont="1" applyFill="1" applyBorder="1" applyAlignment="1" applyProtection="1">
      <alignment horizontal="center" vertical="center"/>
      <protection hidden="1"/>
    </xf>
    <xf numFmtId="2" fontId="3" fillId="5" borderId="1" xfId="0" applyNumberFormat="1" applyFont="1" applyFill="1" applyBorder="1" applyAlignment="1" applyProtection="1">
      <alignment horizontal="center" vertical="center"/>
      <protection hidden="1"/>
    </xf>
    <xf numFmtId="0" fontId="2" fillId="3" borderId="2" xfId="0" applyFont="1" applyFill="1" applyBorder="1" applyAlignment="1" applyProtection="1">
      <alignment horizontal="center" vertical="center"/>
      <protection hidden="1"/>
    </xf>
    <xf numFmtId="0" fontId="2" fillId="4" borderId="2" xfId="0" applyFont="1" applyFill="1" applyBorder="1" applyAlignment="1" applyProtection="1">
      <alignment horizontal="center" vertical="center"/>
      <protection hidden="1"/>
    </xf>
    <xf numFmtId="10" fontId="2" fillId="4" borderId="1" xfId="1" applyNumberFormat="1" applyFont="1" applyFill="1" applyBorder="1" applyAlignment="1" applyProtection="1">
      <alignment horizontal="center" vertical="center"/>
      <protection hidden="1"/>
    </xf>
    <xf numFmtId="10" fontId="2" fillId="4" borderId="1" xfId="0" applyNumberFormat="1" applyFont="1" applyFill="1" applyBorder="1" applyAlignment="1" applyProtection="1">
      <alignment horizontal="center" vertical="center"/>
      <protection hidden="1"/>
    </xf>
    <xf numFmtId="0" fontId="19" fillId="6" borderId="1" xfId="0" applyFont="1" applyFill="1" applyBorder="1" applyAlignment="1" applyProtection="1">
      <alignment horizontal="center" vertical="center"/>
      <protection hidden="1"/>
    </xf>
    <xf numFmtId="0" fontId="20" fillId="0" borderId="1" xfId="0" applyFont="1" applyBorder="1" applyAlignment="1" applyProtection="1">
      <alignment horizontal="center" vertical="center"/>
      <protection hidden="1"/>
    </xf>
    <xf numFmtId="164" fontId="20" fillId="0" borderId="1" xfId="1" applyNumberFormat="1" applyFont="1" applyBorder="1" applyAlignment="1" applyProtection="1">
      <alignment horizontal="center" vertical="center"/>
      <protection hidden="1"/>
    </xf>
    <xf numFmtId="164" fontId="0" fillId="0" borderId="0" xfId="0" applyNumberFormat="1" applyProtection="1">
      <protection hidden="1"/>
    </xf>
    <xf numFmtId="0" fontId="0" fillId="0" borderId="0" xfId="0" applyAlignment="1" applyProtection="1">
      <alignment wrapText="1"/>
      <protection hidden="1"/>
    </xf>
    <xf numFmtId="0" fontId="2" fillId="3" borderId="3" xfId="0" applyFont="1" applyFill="1" applyBorder="1" applyAlignment="1" applyProtection="1">
      <alignment horizontal="center" vertical="center" wrapText="1"/>
      <protection hidden="1"/>
    </xf>
    <xf numFmtId="0" fontId="2" fillId="3" borderId="3" xfId="0" applyFont="1" applyFill="1" applyBorder="1" applyAlignment="1" applyProtection="1">
      <alignment horizontal="center" vertical="center"/>
      <protection hidden="1"/>
    </xf>
    <xf numFmtId="0" fontId="2" fillId="3" borderId="2" xfId="0" applyFont="1" applyFill="1" applyBorder="1" applyAlignment="1" applyProtection="1">
      <alignment horizontal="center" vertical="center" wrapText="1"/>
      <protection hidden="1"/>
    </xf>
    <xf numFmtId="3" fontId="0" fillId="0" borderId="0" xfId="0" applyNumberFormat="1" applyProtection="1">
      <protection hidden="1"/>
    </xf>
    <xf numFmtId="166" fontId="0" fillId="0" borderId="0" xfId="2" applyNumberFormat="1" applyFont="1" applyProtection="1">
      <protection hidden="1"/>
    </xf>
    <xf numFmtId="0" fontId="12" fillId="8" borderId="0" xfId="0" applyFont="1" applyFill="1" applyProtection="1">
      <protection hidden="1"/>
    </xf>
    <xf numFmtId="0" fontId="13" fillId="5" borderId="21" xfId="0" applyFont="1" applyFill="1" applyBorder="1" applyAlignment="1" applyProtection="1">
      <alignment horizontal="center" vertical="center"/>
      <protection hidden="1"/>
    </xf>
    <xf numFmtId="0" fontId="13" fillId="5" borderId="20" xfId="0" applyFont="1" applyFill="1" applyBorder="1" applyAlignment="1" applyProtection="1">
      <alignment horizontal="center" vertical="center"/>
      <protection hidden="1"/>
    </xf>
    <xf numFmtId="0" fontId="11" fillId="0" borderId="5" xfId="0" applyFont="1" applyBorder="1" applyAlignment="1" applyProtection="1">
      <alignment horizontal="center"/>
      <protection hidden="1"/>
    </xf>
    <xf numFmtId="0" fontId="11" fillId="0" borderId="7" xfId="0" applyFont="1" applyBorder="1" applyAlignment="1" applyProtection="1">
      <alignment horizontal="center"/>
      <protection hidden="1"/>
    </xf>
    <xf numFmtId="0" fontId="11" fillId="0" borderId="8" xfId="0" applyFont="1" applyBorder="1" applyAlignment="1" applyProtection="1">
      <alignment horizontal="center"/>
      <protection hidden="1"/>
    </xf>
    <xf numFmtId="0" fontId="11" fillId="0" borderId="4" xfId="0" applyFont="1" applyBorder="1" applyAlignment="1" applyProtection="1">
      <alignment horizontal="center"/>
      <protection hidden="1"/>
    </xf>
    <xf numFmtId="0" fontId="11" fillId="0" borderId="9" xfId="0" applyFont="1" applyBorder="1" applyAlignment="1" applyProtection="1">
      <alignment horizontal="center"/>
      <protection hidden="1"/>
    </xf>
    <xf numFmtId="0" fontId="11" fillId="0" borderId="11" xfId="0" applyFont="1" applyBorder="1" applyAlignment="1" applyProtection="1">
      <alignment horizontal="center"/>
      <protection hidden="1"/>
    </xf>
    <xf numFmtId="0" fontId="13" fillId="5" borderId="14" xfId="0" applyFont="1" applyFill="1" applyBorder="1" applyAlignment="1" applyProtection="1">
      <alignment horizontal="center" vertical="center"/>
      <protection hidden="1"/>
    </xf>
    <xf numFmtId="0" fontId="13" fillId="5" borderId="15" xfId="0" applyFont="1" applyFill="1" applyBorder="1" applyAlignment="1" applyProtection="1">
      <alignment horizontal="center" vertical="center"/>
      <protection hidden="1"/>
    </xf>
    <xf numFmtId="0" fontId="13" fillId="5" borderId="18" xfId="0" applyFont="1" applyFill="1" applyBorder="1" applyAlignment="1" applyProtection="1">
      <alignment horizontal="center" vertical="center"/>
      <protection hidden="1"/>
    </xf>
    <xf numFmtId="0" fontId="13" fillId="5" borderId="19" xfId="0" applyFont="1" applyFill="1" applyBorder="1" applyAlignment="1" applyProtection="1">
      <alignment horizontal="center" vertical="center"/>
      <protection hidden="1"/>
    </xf>
    <xf numFmtId="0" fontId="13" fillId="5" borderId="16" xfId="0" applyFont="1" applyFill="1" applyBorder="1" applyAlignment="1" applyProtection="1">
      <alignment horizontal="center" vertical="center"/>
      <protection hidden="1"/>
    </xf>
    <xf numFmtId="0" fontId="13" fillId="5" borderId="17" xfId="0" applyFont="1" applyFill="1" applyBorder="1" applyAlignment="1" applyProtection="1">
      <alignment horizontal="center" vertical="center"/>
      <protection hidden="1"/>
    </xf>
    <xf numFmtId="0" fontId="13" fillId="0" borderId="5" xfId="0" applyFont="1" applyBorder="1" applyAlignment="1" applyProtection="1">
      <alignment horizontal="center" vertical="center"/>
      <protection hidden="1"/>
    </xf>
    <xf numFmtId="0" fontId="13" fillId="0" borderId="7" xfId="0" applyFont="1" applyBorder="1" applyAlignment="1" applyProtection="1">
      <alignment horizontal="center" vertical="center"/>
      <protection hidden="1"/>
    </xf>
    <xf numFmtId="0" fontId="13" fillId="0" borderId="8" xfId="0" applyFont="1" applyBorder="1" applyAlignment="1" applyProtection="1">
      <alignment horizontal="center" vertical="center"/>
      <protection hidden="1"/>
    </xf>
    <xf numFmtId="0" fontId="13" fillId="0" borderId="4" xfId="0" applyFont="1" applyBorder="1" applyAlignment="1" applyProtection="1">
      <alignment horizontal="center" vertical="center"/>
      <protection hidden="1"/>
    </xf>
    <xf numFmtId="0" fontId="13" fillId="0" borderId="9" xfId="0" applyFont="1" applyBorder="1" applyAlignment="1" applyProtection="1">
      <alignment horizontal="center" vertical="center"/>
      <protection hidden="1"/>
    </xf>
    <xf numFmtId="0" fontId="13" fillId="0" borderId="11" xfId="0" applyFont="1" applyBorder="1" applyAlignment="1" applyProtection="1">
      <alignment horizontal="center" vertical="center"/>
      <protection hidden="1"/>
    </xf>
    <xf numFmtId="0" fontId="13" fillId="0" borderId="5" xfId="0" applyFont="1" applyBorder="1" applyAlignment="1" applyProtection="1">
      <alignment horizontal="center" vertical="center" wrapText="1"/>
      <protection hidden="1"/>
    </xf>
    <xf numFmtId="0" fontId="13" fillId="0" borderId="6" xfId="0" applyFont="1" applyBorder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horizontal="center" vertical="center"/>
      <protection hidden="1"/>
    </xf>
    <xf numFmtId="0" fontId="13" fillId="0" borderId="10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 wrapText="1"/>
      <protection hidden="1"/>
    </xf>
    <xf numFmtId="0" fontId="5" fillId="0" borderId="6" xfId="0" applyFont="1" applyBorder="1" applyAlignment="1" applyProtection="1">
      <alignment horizontal="center" vertical="center" wrapText="1"/>
      <protection hidden="1"/>
    </xf>
    <xf numFmtId="0" fontId="5" fillId="0" borderId="7" xfId="0" applyFont="1" applyBorder="1" applyAlignment="1" applyProtection="1">
      <alignment horizontal="center" vertical="center" wrapText="1"/>
      <protection hidden="1"/>
    </xf>
    <xf numFmtId="0" fontId="5" fillId="0" borderId="8" xfId="0" applyFont="1" applyBorder="1" applyAlignment="1" applyProtection="1">
      <alignment horizontal="center" vertical="center" wrapText="1"/>
      <protection hidden="1"/>
    </xf>
    <xf numFmtId="0" fontId="5" fillId="0" borderId="0" xfId="0" applyFont="1" applyAlignment="1" applyProtection="1">
      <alignment horizontal="center" vertical="center" wrapText="1"/>
      <protection hidden="1"/>
    </xf>
    <xf numFmtId="0" fontId="5" fillId="0" borderId="4" xfId="0" applyFont="1" applyBorder="1" applyAlignment="1" applyProtection="1">
      <alignment horizontal="center" vertical="center" wrapText="1"/>
      <protection hidden="1"/>
    </xf>
    <xf numFmtId="0" fontId="5" fillId="0" borderId="9" xfId="0" applyFont="1" applyBorder="1" applyAlignment="1" applyProtection="1">
      <alignment horizontal="center" vertical="center" wrapText="1"/>
      <protection hidden="1"/>
    </xf>
    <xf numFmtId="0" fontId="5" fillId="0" borderId="10" xfId="0" applyFont="1" applyBorder="1" applyAlignment="1" applyProtection="1">
      <alignment horizontal="center" vertical="center" wrapText="1"/>
      <protection hidden="1"/>
    </xf>
    <xf numFmtId="0" fontId="5" fillId="0" borderId="11" xfId="0" applyFont="1" applyBorder="1" applyAlignment="1" applyProtection="1">
      <alignment horizontal="center" vertical="center" wrapText="1"/>
      <protection hidden="1"/>
    </xf>
    <xf numFmtId="0" fontId="14" fillId="0" borderId="5" xfId="0" applyFont="1" applyBorder="1" applyAlignment="1" applyProtection="1">
      <alignment horizontal="center" vertical="center" wrapText="1"/>
      <protection hidden="1"/>
    </xf>
    <xf numFmtId="0" fontId="14" fillId="0" borderId="6" xfId="0" applyFont="1" applyBorder="1" applyAlignment="1" applyProtection="1">
      <alignment horizontal="center" vertical="center" wrapText="1"/>
      <protection hidden="1"/>
    </xf>
    <xf numFmtId="0" fontId="14" fillId="0" borderId="7" xfId="0" applyFont="1" applyBorder="1" applyAlignment="1" applyProtection="1">
      <alignment horizontal="center" vertical="center" wrapText="1"/>
      <protection hidden="1"/>
    </xf>
    <xf numFmtId="0" fontId="14" fillId="0" borderId="8" xfId="0" applyFont="1" applyBorder="1" applyAlignment="1" applyProtection="1">
      <alignment horizontal="center" vertical="center" wrapText="1"/>
      <protection hidden="1"/>
    </xf>
    <xf numFmtId="0" fontId="14" fillId="0" borderId="0" xfId="0" applyFont="1" applyAlignment="1" applyProtection="1">
      <alignment horizontal="center" vertical="center" wrapText="1"/>
      <protection hidden="1"/>
    </xf>
    <xf numFmtId="0" fontId="14" fillId="0" borderId="4" xfId="0" applyFont="1" applyBorder="1" applyAlignment="1" applyProtection="1">
      <alignment horizontal="center" vertical="center" wrapText="1"/>
      <protection hidden="1"/>
    </xf>
    <xf numFmtId="0" fontId="14" fillId="0" borderId="9" xfId="0" applyFont="1" applyBorder="1" applyAlignment="1" applyProtection="1">
      <alignment horizontal="center" vertical="center" wrapText="1"/>
      <protection hidden="1"/>
    </xf>
    <xf numFmtId="0" fontId="14" fillId="0" borderId="10" xfId="0" applyFont="1" applyBorder="1" applyAlignment="1" applyProtection="1">
      <alignment horizontal="center" vertical="center" wrapText="1"/>
      <protection hidden="1"/>
    </xf>
    <xf numFmtId="0" fontId="14" fillId="0" borderId="11" xfId="0" applyFont="1" applyBorder="1" applyAlignment="1" applyProtection="1">
      <alignment horizontal="center" vertical="center" wrapText="1"/>
      <protection hidden="1"/>
    </xf>
    <xf numFmtId="0" fontId="7" fillId="0" borderId="1" xfId="0" applyFont="1" applyBorder="1" applyAlignment="1" applyProtection="1">
      <alignment horizontal="center" vertical="center"/>
      <protection hidden="1"/>
    </xf>
    <xf numFmtId="164" fontId="7" fillId="0" borderId="1" xfId="1" applyNumberFormat="1" applyFont="1" applyBorder="1" applyAlignment="1" applyProtection="1">
      <alignment horizontal="center" vertical="center"/>
      <protection hidden="1"/>
    </xf>
    <xf numFmtId="164" fontId="0" fillId="0" borderId="1" xfId="1" applyNumberFormat="1" applyFont="1" applyBorder="1" applyAlignment="1" applyProtection="1">
      <alignment horizontal="center" vertical="center"/>
      <protection hidden="1"/>
    </xf>
  </cellXfs>
  <cellStyles count="3">
    <cellStyle name="Comma" xfId="2" builtinId="3"/>
    <cellStyle name="Normal" xfId="0" builtinId="0"/>
    <cellStyle name="Percent" xfId="1" builtinId="5"/>
  </cellStyles>
  <dxfs count="3">
    <dxf>
      <fill>
        <patternFill patternType="darkGray"/>
      </fill>
    </dxf>
    <dxf>
      <fill>
        <patternFill patternType="darkGray"/>
      </fill>
    </dxf>
    <dxf>
      <fill>
        <patternFill patternType="darkGray"/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571499</xdr:colOff>
      <xdr:row>50</xdr:row>
      <xdr:rowOff>93258</xdr:rowOff>
    </xdr:from>
    <xdr:to>
      <xdr:col>5</xdr:col>
      <xdr:colOff>57831</xdr:colOff>
      <xdr:row>52</xdr:row>
      <xdr:rowOff>67017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4580569" y="9618258"/>
          <a:ext cx="705532" cy="354759"/>
        </a:xfrm>
        <a:prstGeom prst="rect">
          <a:avLst/>
        </a:prstGeom>
      </xdr:spPr>
    </xdr:pic>
    <xdr:clientData/>
  </xdr:twoCellAnchor>
  <xdr:twoCellAnchor editAs="oneCell">
    <xdr:from>
      <xdr:col>3</xdr:col>
      <xdr:colOff>71921</xdr:colOff>
      <xdr:row>49</xdr:row>
      <xdr:rowOff>142875</xdr:rowOff>
    </xdr:from>
    <xdr:to>
      <xdr:col>4</xdr:col>
      <xdr:colOff>391207</xdr:colOff>
      <xdr:row>52</xdr:row>
      <xdr:rowOff>38442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F02A0DF-9520-4B63-BF23-9FEF613E3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4856793" y="9477375"/>
          <a:ext cx="928886" cy="467067"/>
        </a:xfrm>
        <a:prstGeom prst="rect">
          <a:avLst/>
        </a:prstGeom>
      </xdr:spPr>
    </xdr:pic>
    <xdr:clientData/>
  </xdr:twoCellAnchor>
  <xdr:twoCellAnchor editAs="oneCell">
    <xdr:from>
      <xdr:col>1</xdr:col>
      <xdr:colOff>34590</xdr:colOff>
      <xdr:row>0</xdr:row>
      <xdr:rowOff>123825</xdr:rowOff>
    </xdr:from>
    <xdr:to>
      <xdr:col>12</xdr:col>
      <xdr:colOff>438150</xdr:colOff>
      <xdr:row>53</xdr:row>
      <xdr:rowOff>85725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79711D2-0372-95AD-B972-B4F104006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9933050" y="123825"/>
          <a:ext cx="7109160" cy="10058400"/>
        </a:xfrm>
        <a:prstGeom prst="rect">
          <a:avLst/>
        </a:prstGeom>
      </xdr:spPr>
    </xdr:pic>
    <xdr:clientData/>
  </xdr:twoCellAnchor>
  <xdr:twoCellAnchor editAs="oneCell">
    <xdr:from>
      <xdr:col>5</xdr:col>
      <xdr:colOff>419100</xdr:colOff>
      <xdr:row>51</xdr:row>
      <xdr:rowOff>180975</xdr:rowOff>
    </xdr:from>
    <xdr:to>
      <xdr:col>7</xdr:col>
      <xdr:colOff>266700</xdr:colOff>
      <xdr:row>54</xdr:row>
      <xdr:rowOff>78740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FF4B8CE-AB8D-59F5-D502-3DBFC898A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3152500" y="9896475"/>
          <a:ext cx="1066800" cy="4692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99233</xdr:colOff>
      <xdr:row>0</xdr:row>
      <xdr:rowOff>161925</xdr:rowOff>
    </xdr:from>
    <xdr:to>
      <xdr:col>2</xdr:col>
      <xdr:colOff>1042493</xdr:colOff>
      <xdr:row>2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8767982" y="161925"/>
          <a:ext cx="1162335" cy="533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233642</xdr:colOff>
      <xdr:row>0</xdr:row>
      <xdr:rowOff>160804</xdr:rowOff>
    </xdr:from>
    <xdr:to>
      <xdr:col>3</xdr:col>
      <xdr:colOff>560194</xdr:colOff>
      <xdr:row>2</xdr:row>
      <xdr:rowOff>170329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0560894" y="160804"/>
          <a:ext cx="1301464" cy="5922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"/>
  <sheetViews>
    <sheetView showGridLines="0" rightToLeft="1" tabSelected="1" workbookViewId="0">
      <selection activeCell="N20" sqref="N20"/>
    </sheetView>
  </sheetViews>
  <sheetFormatPr defaultRowHeight="15" x14ac:dyDescent="0.25"/>
  <cols>
    <col min="1" max="1" width="4.140625" customWidth="1"/>
  </cols>
  <sheetData/>
  <sheetProtection algorithmName="SHA-512" hashValue="oyYFWmYkZebkt0cSupjClRwKoE6aom5W8Kv6VC1tJrcez9aPC4M1QB7PVgx23Ue4LFUMyRkYSuQPMMQDbzoD/A==" saltValue="NWcJfCS1t6RSxzj43z+6ww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rgb="FFFFFF00"/>
    <pageSetUpPr fitToPage="1"/>
  </sheetPr>
  <dimension ref="B1:O26"/>
  <sheetViews>
    <sheetView showGridLines="0" rightToLeft="1" workbookViewId="0">
      <selection activeCell="T5" sqref="T5"/>
    </sheetView>
  </sheetViews>
  <sheetFormatPr defaultColWidth="9.140625" defaultRowHeight="15.75" x14ac:dyDescent="0.25"/>
  <cols>
    <col min="1" max="1" width="3.85546875" style="19" customWidth="1"/>
    <col min="2" max="2" width="3.28515625" style="19" customWidth="1"/>
    <col min="3" max="3" width="18.140625" style="19" customWidth="1"/>
    <col min="4" max="4" width="18.5703125" style="19" customWidth="1"/>
    <col min="5" max="5" width="20.7109375" style="19" customWidth="1"/>
    <col min="6" max="6" width="5" style="19" customWidth="1"/>
    <col min="7" max="7" width="27.7109375" style="19" customWidth="1"/>
    <col min="8" max="8" width="20.7109375" style="19" customWidth="1"/>
    <col min="9" max="9" width="3.28515625" style="19" customWidth="1"/>
    <col min="10" max="10" width="0" style="19" hidden="1" customWidth="1"/>
    <col min="11" max="15" width="9.140625" style="19" hidden="1" customWidth="1"/>
    <col min="16" max="16" width="0" style="19" hidden="1" customWidth="1"/>
    <col min="17" max="17" width="10.42578125" style="19" customWidth="1"/>
    <col min="18" max="16384" width="9.140625" style="19"/>
  </cols>
  <sheetData>
    <row r="1" spans="2:15" ht="21" x14ac:dyDescent="0.25">
      <c r="B1" s="88"/>
      <c r="C1" s="89"/>
      <c r="D1" s="106" t="s">
        <v>81</v>
      </c>
      <c r="E1" s="107"/>
      <c r="F1" s="107"/>
      <c r="G1" s="101"/>
      <c r="H1" s="100" t="s">
        <v>80</v>
      </c>
      <c r="I1" s="101"/>
    </row>
    <row r="2" spans="2:15" ht="21" x14ac:dyDescent="0.25">
      <c r="B2" s="90"/>
      <c r="C2" s="91"/>
      <c r="D2" s="102"/>
      <c r="E2" s="108"/>
      <c r="F2" s="108"/>
      <c r="G2" s="103"/>
      <c r="H2" s="102" t="s">
        <v>112</v>
      </c>
      <c r="I2" s="103"/>
    </row>
    <row r="3" spans="2:15" ht="21.75" thickBot="1" x14ac:dyDescent="0.3">
      <c r="B3" s="92"/>
      <c r="C3" s="93"/>
      <c r="D3" s="104"/>
      <c r="E3" s="109"/>
      <c r="F3" s="109"/>
      <c r="G3" s="105"/>
      <c r="H3" s="104" t="s">
        <v>78</v>
      </c>
      <c r="I3" s="105"/>
    </row>
    <row r="4" spans="2:15" ht="16.5" thickBot="1" x14ac:dyDescent="0.3"/>
    <row r="5" spans="2:15" ht="9.9499999999999993" customHeight="1" thickBot="1" x14ac:dyDescent="0.5">
      <c r="B5" s="20"/>
      <c r="C5" s="21"/>
      <c r="D5" s="21"/>
      <c r="E5" s="21"/>
      <c r="F5" s="21"/>
      <c r="G5" s="21"/>
      <c r="H5" s="21"/>
      <c r="I5" s="22"/>
    </row>
    <row r="6" spans="2:15" ht="24.95" customHeight="1" thickBot="1" x14ac:dyDescent="0.5">
      <c r="B6" s="23"/>
      <c r="C6" s="86" t="s">
        <v>5</v>
      </c>
      <c r="D6" s="87"/>
      <c r="E6" s="48">
        <v>40</v>
      </c>
      <c r="F6" s="24"/>
      <c r="G6" s="24"/>
      <c r="H6" s="24"/>
      <c r="I6" s="25"/>
    </row>
    <row r="7" spans="2:15" ht="17.25" customHeight="1" thickBot="1" x14ac:dyDescent="0.5">
      <c r="B7" s="23"/>
      <c r="C7" s="24"/>
      <c r="D7" s="26"/>
      <c r="E7" s="26"/>
      <c r="F7" s="24"/>
      <c r="G7" s="24"/>
      <c r="H7" s="24"/>
      <c r="I7" s="25"/>
      <c r="K7" s="44" t="s">
        <v>103</v>
      </c>
      <c r="L7" s="44" t="s">
        <v>104</v>
      </c>
      <c r="M7" s="44" t="s">
        <v>87</v>
      </c>
      <c r="N7" s="44" t="s">
        <v>105</v>
      </c>
      <c r="O7" s="44" t="s">
        <v>106</v>
      </c>
    </row>
    <row r="8" spans="2:15" ht="24.95" customHeight="1" x14ac:dyDescent="0.45">
      <c r="B8" s="23"/>
      <c r="C8" s="94" t="s">
        <v>6</v>
      </c>
      <c r="D8" s="95"/>
      <c r="E8" s="49">
        <v>0.3</v>
      </c>
      <c r="F8" s="24"/>
      <c r="G8" s="24"/>
      <c r="H8" s="24"/>
      <c r="I8" s="25"/>
      <c r="K8" s="37" t="s">
        <v>107</v>
      </c>
      <c r="L8" s="37" t="s">
        <v>107</v>
      </c>
      <c r="M8" s="37" t="s">
        <v>107</v>
      </c>
      <c r="N8" s="37" t="s">
        <v>107</v>
      </c>
      <c r="O8" s="37" t="s">
        <v>107</v>
      </c>
    </row>
    <row r="9" spans="2:15" ht="24.95" customHeight="1" thickBot="1" x14ac:dyDescent="0.5">
      <c r="B9" s="23"/>
      <c r="C9" s="98" t="s">
        <v>7</v>
      </c>
      <c r="D9" s="99"/>
      <c r="E9" s="50">
        <v>0.3</v>
      </c>
      <c r="F9" s="24"/>
      <c r="G9" s="24"/>
      <c r="H9" s="24"/>
      <c r="I9" s="25"/>
      <c r="K9" s="37"/>
      <c r="L9" s="37" t="s">
        <v>108</v>
      </c>
      <c r="M9" s="37"/>
      <c r="N9" s="37"/>
      <c r="O9" s="37"/>
    </row>
    <row r="10" spans="2:15" ht="20.25" customHeight="1" thickBot="1" x14ac:dyDescent="0.5">
      <c r="B10" s="23"/>
      <c r="C10" s="85"/>
      <c r="D10" s="85"/>
      <c r="E10" s="26"/>
      <c r="F10" s="24"/>
      <c r="G10" s="24"/>
      <c r="H10" s="24"/>
      <c r="I10" s="25"/>
      <c r="K10" s="37"/>
      <c r="L10" s="37" t="s">
        <v>101</v>
      </c>
      <c r="M10" s="37"/>
      <c r="N10" s="37"/>
      <c r="O10" s="37"/>
    </row>
    <row r="11" spans="2:15" ht="24.95" customHeight="1" x14ac:dyDescent="0.45">
      <c r="B11" s="23"/>
      <c r="C11" s="94" t="s">
        <v>8</v>
      </c>
      <c r="D11" s="95"/>
      <c r="E11" s="51">
        <v>30000000</v>
      </c>
      <c r="F11" s="24"/>
      <c r="G11" s="24"/>
      <c r="H11" s="24"/>
      <c r="I11" s="25"/>
      <c r="K11" s="37"/>
      <c r="L11" s="37" t="s">
        <v>109</v>
      </c>
      <c r="M11" s="37"/>
      <c r="N11" s="37"/>
      <c r="O11" s="37"/>
    </row>
    <row r="12" spans="2:15" ht="24.95" customHeight="1" thickBot="1" x14ac:dyDescent="0.5">
      <c r="B12" s="23"/>
      <c r="C12" s="98" t="s">
        <v>9</v>
      </c>
      <c r="D12" s="99"/>
      <c r="E12" s="52">
        <v>18</v>
      </c>
      <c r="F12" s="24"/>
      <c r="G12" s="24"/>
      <c r="H12" s="24"/>
      <c r="I12" s="25"/>
    </row>
    <row r="13" spans="2:15" ht="9.9499999999999993" customHeight="1" thickBot="1" x14ac:dyDescent="0.5">
      <c r="B13" s="23"/>
      <c r="C13" s="85"/>
      <c r="D13" s="85"/>
      <c r="E13" s="27"/>
      <c r="F13" s="24"/>
      <c r="G13" s="24"/>
      <c r="H13" s="24"/>
      <c r="I13" s="25"/>
    </row>
    <row r="14" spans="2:15" ht="24.95" customHeight="1" x14ac:dyDescent="0.45">
      <c r="B14" s="23"/>
      <c r="C14" s="94" t="s">
        <v>11</v>
      </c>
      <c r="D14" s="95"/>
      <c r="E14" s="53" t="s">
        <v>111</v>
      </c>
      <c r="F14" s="24"/>
      <c r="G14" s="28" t="s">
        <v>70</v>
      </c>
      <c r="H14" s="54">
        <v>6</v>
      </c>
      <c r="I14" s="25"/>
    </row>
    <row r="15" spans="2:15" ht="24.95" customHeight="1" x14ac:dyDescent="0.45">
      <c r="B15" s="23"/>
      <c r="C15" s="96" t="s">
        <v>82</v>
      </c>
      <c r="D15" s="97"/>
      <c r="E15" s="55" t="s">
        <v>111</v>
      </c>
      <c r="F15" s="24"/>
      <c r="G15" s="28" t="s">
        <v>71</v>
      </c>
      <c r="H15" s="54">
        <v>9</v>
      </c>
      <c r="I15" s="25"/>
    </row>
    <row r="16" spans="2:15" ht="24.95" customHeight="1" thickBot="1" x14ac:dyDescent="0.5">
      <c r="B16" s="23"/>
      <c r="C16" s="98" t="s">
        <v>12</v>
      </c>
      <c r="D16" s="99"/>
      <c r="E16" s="52" t="s">
        <v>111</v>
      </c>
      <c r="F16" s="24"/>
      <c r="G16" s="29" t="s">
        <v>72</v>
      </c>
      <c r="H16" s="56">
        <v>54</v>
      </c>
      <c r="I16" s="25"/>
    </row>
    <row r="17" spans="2:14" ht="9.9499999999999993" customHeight="1" thickBot="1" x14ac:dyDescent="0.5">
      <c r="B17" s="23"/>
      <c r="C17" s="85"/>
      <c r="D17" s="85"/>
      <c r="E17" s="27"/>
      <c r="F17" s="24"/>
      <c r="G17" s="24"/>
      <c r="H17" s="24"/>
      <c r="I17" s="25"/>
    </row>
    <row r="18" spans="2:14" ht="24.95" customHeight="1" x14ac:dyDescent="0.45">
      <c r="B18" s="23"/>
      <c r="C18" s="94" t="s">
        <v>13</v>
      </c>
      <c r="D18" s="95"/>
      <c r="E18" s="53">
        <v>0</v>
      </c>
      <c r="F18" s="24"/>
      <c r="G18" s="24"/>
      <c r="H18" s="24"/>
      <c r="I18" s="25"/>
    </row>
    <row r="19" spans="2:14" ht="24.95" customHeight="1" x14ac:dyDescent="0.45">
      <c r="B19" s="23"/>
      <c r="C19" s="96" t="s">
        <v>14</v>
      </c>
      <c r="D19" s="97"/>
      <c r="E19" s="55">
        <v>0</v>
      </c>
      <c r="F19" s="24"/>
      <c r="G19" s="24"/>
      <c r="H19" s="24"/>
      <c r="I19" s="25"/>
    </row>
    <row r="20" spans="2:14" ht="24.95" customHeight="1" thickBot="1" x14ac:dyDescent="0.5">
      <c r="B20" s="23"/>
      <c r="C20" s="98" t="s">
        <v>15</v>
      </c>
      <c r="D20" s="99"/>
      <c r="E20" s="52" t="s">
        <v>58</v>
      </c>
      <c r="F20" s="24"/>
      <c r="G20" s="29" t="s">
        <v>92</v>
      </c>
      <c r="H20" s="56" t="s">
        <v>103</v>
      </c>
      <c r="I20" s="25"/>
    </row>
    <row r="21" spans="2:14" ht="9.9499999999999993" customHeight="1" thickBot="1" x14ac:dyDescent="0.5">
      <c r="B21" s="23"/>
      <c r="C21" s="85"/>
      <c r="D21" s="85"/>
      <c r="E21" s="27"/>
      <c r="F21" s="24"/>
      <c r="G21" s="24"/>
      <c r="H21" s="24"/>
      <c r="I21" s="25"/>
    </row>
    <row r="22" spans="2:14" ht="24.95" customHeight="1" thickBot="1" x14ac:dyDescent="0.5">
      <c r="B22" s="23"/>
      <c r="C22" s="94" t="s">
        <v>10</v>
      </c>
      <c r="D22" s="95"/>
      <c r="E22" s="49">
        <v>0</v>
      </c>
      <c r="F22" s="24"/>
      <c r="G22" s="29" t="s">
        <v>102</v>
      </c>
      <c r="H22" s="43" t="s">
        <v>109</v>
      </c>
      <c r="I22" s="25"/>
    </row>
    <row r="23" spans="2:14" ht="24.95" customHeight="1" thickBot="1" x14ac:dyDescent="0.5">
      <c r="B23" s="23"/>
      <c r="C23" s="98" t="s">
        <v>69</v>
      </c>
      <c r="D23" s="99"/>
      <c r="E23" s="50">
        <v>0.2</v>
      </c>
      <c r="F23" s="24"/>
      <c r="G23" s="24"/>
      <c r="H23" s="24"/>
      <c r="I23" s="25"/>
      <c r="L23" s="98" t="s">
        <v>69</v>
      </c>
      <c r="M23" s="99"/>
      <c r="N23" s="57">
        <f>IF($E$23&gt;0.2,0.2,ABS($E$23))</f>
        <v>0.2</v>
      </c>
    </row>
    <row r="24" spans="2:14" ht="9.9499999999999993" customHeight="1" thickBot="1" x14ac:dyDescent="0.5">
      <c r="B24" s="23"/>
      <c r="C24" s="85"/>
      <c r="D24" s="85"/>
      <c r="E24" s="24"/>
      <c r="F24" s="24"/>
      <c r="G24" s="24"/>
      <c r="H24" s="24"/>
      <c r="I24" s="25"/>
    </row>
    <row r="25" spans="2:14" ht="24.95" customHeight="1" thickBot="1" x14ac:dyDescent="0.5">
      <c r="B25" s="23"/>
      <c r="C25" s="86" t="s">
        <v>49</v>
      </c>
      <c r="D25" s="87"/>
      <c r="E25" s="48" t="s">
        <v>57</v>
      </c>
      <c r="F25" s="24"/>
      <c r="G25" s="24"/>
      <c r="H25" s="24"/>
      <c r="I25" s="25"/>
    </row>
    <row r="26" spans="2:14" ht="9.9499999999999993" customHeight="1" thickBot="1" x14ac:dyDescent="0.5">
      <c r="B26" s="30"/>
      <c r="C26" s="31"/>
      <c r="D26" s="31"/>
      <c r="E26" s="31"/>
      <c r="F26" s="31"/>
      <c r="G26" s="31"/>
      <c r="H26" s="31"/>
      <c r="I26" s="32"/>
    </row>
  </sheetData>
  <sheetProtection algorithmName="SHA-512" hashValue="6sXFJBN9IPrqdp6k01O9RDzMYh7Dpf7mIlu70B1ZvacK8YDafZX4VLNHg2fSrqLoXLMp9RCQUiGCWVgvmS1Kuw==" saltValue="98rLnAPMkGVauYdEBsW2DQ==" spinCount="100000" sheet="1" objects="1" scenarios="1"/>
  <mergeCells count="25">
    <mergeCell ref="H1:I1"/>
    <mergeCell ref="H2:I2"/>
    <mergeCell ref="H3:I3"/>
    <mergeCell ref="D1:G3"/>
    <mergeCell ref="L23:M23"/>
    <mergeCell ref="C23:D23"/>
    <mergeCell ref="C22:D22"/>
    <mergeCell ref="C9:D9"/>
    <mergeCell ref="C10:D10"/>
    <mergeCell ref="C11:D11"/>
    <mergeCell ref="C8:D8"/>
    <mergeCell ref="C24:D24"/>
    <mergeCell ref="C25:D25"/>
    <mergeCell ref="B1:C3"/>
    <mergeCell ref="C17:D17"/>
    <mergeCell ref="C18:D18"/>
    <mergeCell ref="C19:D19"/>
    <mergeCell ref="C20:D20"/>
    <mergeCell ref="C21:D21"/>
    <mergeCell ref="C12:D12"/>
    <mergeCell ref="C13:D13"/>
    <mergeCell ref="C14:D14"/>
    <mergeCell ref="C15:D15"/>
    <mergeCell ref="C16:D16"/>
    <mergeCell ref="C6:D6"/>
  </mergeCells>
  <conditionalFormatting sqref="G14:H14">
    <cfRule type="expression" dxfId="2" priority="1">
      <formula>$E$14="خیر"</formula>
    </cfRule>
  </conditionalFormatting>
  <conditionalFormatting sqref="G15:H15">
    <cfRule type="expression" dxfId="1" priority="4">
      <formula>$E$15="خیر"</formula>
    </cfRule>
  </conditionalFormatting>
  <conditionalFormatting sqref="G16:H16">
    <cfRule type="expression" dxfId="0" priority="3">
      <formula>$E$16="خیر"</formula>
    </cfRule>
  </conditionalFormatting>
  <dataValidations xWindow="647" yWindow="466" count="3">
    <dataValidation type="list" allowBlank="1" showInputMessage="1" showErrorMessage="1" sqref="E20" xr:uid="{00000000-0002-0000-0100-000000000000}">
      <formula1>"سالانه,شش ماهه,سه ماهه,ماهانه"</formula1>
    </dataValidation>
    <dataValidation type="list" allowBlank="1" showInputMessage="1" showErrorMessage="1" sqref="E14:E16" xr:uid="{00000000-0002-0000-0100-000001000000}">
      <formula1>"بله,خیر"</formula1>
    </dataValidation>
    <dataValidation type="list" allowBlank="1" showInputMessage="1" showErrorMessage="1" sqref="H22" xr:uid="{00000000-0002-0000-0100-000002000000}">
      <formula1>INDIRECT($H$20)</formula1>
    </dataValidation>
  </dataValidations>
  <pageMargins left="0.7" right="0.7" top="0.75" bottom="0.75" header="0.3" footer="0.3"/>
  <pageSetup paperSize="9" scale="7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647" yWindow="466" count="5">
        <x14:dataValidation type="list" allowBlank="1" showInputMessage="1" showErrorMessage="1" xr:uid="{00000000-0002-0000-0100-000003000000}">
          <x14:formula1>
            <xm:f>Rates!$Q$32:$Q$36</xm:f>
          </x14:formula1>
          <xm:sqref>H20</xm:sqref>
        </x14:dataValidation>
        <x14:dataValidation type="list" allowBlank="1" showInputMessage="1" showErrorMessage="1" xr:uid="{00000000-0002-0000-0100-000004000000}">
          <x14:formula1>
            <xm:f>Rates!$Q$2:$Q$9</xm:f>
          </x14:formula1>
          <xm:sqref>E25</xm:sqref>
        </x14:dataValidation>
        <x14:dataValidation type="list" allowBlank="1" showInputMessage="1" showErrorMessage="1" xr:uid="{00000000-0002-0000-0100-000005000000}">
          <x14:formula1>
            <xm:f>Rates!$AB$2:$AB$11</xm:f>
          </x14:formula1>
          <xm:sqref>H15</xm:sqref>
        </x14:dataValidation>
        <x14:dataValidation type="list" allowBlank="1" showInputMessage="1" showErrorMessage="1" xr:uid="{00000000-0002-0000-0100-000006000000}">
          <x14:formula1>
            <xm:f>Rates!$AA$2:$AA$11</xm:f>
          </x14:formula1>
          <xm:sqref>H14</xm:sqref>
        </x14:dataValidation>
        <x14:dataValidation type="list" allowBlank="1" showInputMessage="1" showErrorMessage="1" xr:uid="{00000000-0002-0000-0100-000007000000}">
          <x14:formula1>
            <xm:f>Rates!$AC$2:$AC$56</xm:f>
          </x14:formula1>
          <xm:sqref>H16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AC35"/>
  <sheetViews>
    <sheetView showGridLines="0" rightToLeft="1" zoomScaleNormal="100" workbookViewId="0">
      <pane xSplit="1" ySplit="5" topLeftCell="M6" activePane="bottomRight" state="frozen"/>
      <selection pane="topRight" activeCell="B1" sqref="B1"/>
      <selection pane="bottomLeft" activeCell="A6" sqref="A6"/>
      <selection pane="bottomRight" activeCell="AC2" sqref="AC2"/>
    </sheetView>
  </sheetViews>
  <sheetFormatPr defaultColWidth="9.140625" defaultRowHeight="18" x14ac:dyDescent="0.45"/>
  <cols>
    <col min="1" max="1" width="5.85546875" style="1" customWidth="1"/>
    <col min="2" max="2" width="5.42578125" style="16" customWidth="1"/>
    <col min="3" max="3" width="3.42578125" style="16" bestFit="1" customWidth="1"/>
    <col min="4" max="4" width="16.28515625" style="1" bestFit="1" customWidth="1"/>
    <col min="5" max="5" width="17.42578125" style="1" bestFit="1" customWidth="1"/>
    <col min="6" max="6" width="16.42578125" style="1" customWidth="1"/>
    <col min="7" max="7" width="9.7109375" style="1" hidden="1" customWidth="1"/>
    <col min="8" max="8" width="9.5703125" style="1" hidden="1" customWidth="1"/>
    <col min="9" max="9" width="11.7109375" style="1" hidden="1" customWidth="1"/>
    <col min="10" max="10" width="14.28515625" style="1" hidden="1" customWidth="1"/>
    <col min="11" max="11" width="12.28515625" style="1" hidden="1" customWidth="1"/>
    <col min="12" max="12" width="18.85546875" style="1" hidden="1" customWidth="1"/>
    <col min="13" max="13" width="16.7109375" style="1" customWidth="1"/>
    <col min="14" max="14" width="20.42578125" style="1" hidden="1" customWidth="1"/>
    <col min="15" max="15" width="17.5703125" style="1" customWidth="1"/>
    <col min="16" max="16" width="14.140625" style="1" hidden="1" customWidth="1"/>
    <col min="17" max="17" width="16.85546875" style="1" bestFit="1" customWidth="1"/>
    <col min="18" max="18" width="15.85546875" style="1" bestFit="1" customWidth="1"/>
    <col min="19" max="19" width="13.85546875" style="1" customWidth="1"/>
    <col min="20" max="20" width="15.85546875" style="1" bestFit="1" customWidth="1"/>
    <col min="21" max="21" width="16" style="1" hidden="1" customWidth="1"/>
    <col min="22" max="22" width="18.7109375" style="1" hidden="1" customWidth="1"/>
    <col min="23" max="23" width="15.42578125" style="1" hidden="1" customWidth="1"/>
    <col min="24" max="24" width="16.5703125" style="1" hidden="1" customWidth="1"/>
    <col min="25" max="25" width="11" style="1" bestFit="1" customWidth="1"/>
    <col min="26" max="26" width="13.42578125" style="1" bestFit="1" customWidth="1"/>
    <col min="27" max="27" width="9.7109375" style="1" customWidth="1"/>
    <col min="28" max="28" width="14.42578125" style="1" customWidth="1"/>
    <col min="29" max="16384" width="9.140625" style="1"/>
  </cols>
  <sheetData>
    <row r="1" spans="1:29" ht="23.25" customHeight="1" x14ac:dyDescent="0.45">
      <c r="A1" s="110"/>
      <c r="B1" s="111"/>
      <c r="C1" s="111"/>
      <c r="D1" s="112"/>
      <c r="E1" s="119" t="s">
        <v>110</v>
      </c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1"/>
      <c r="AA1" s="100" t="s">
        <v>80</v>
      </c>
      <c r="AB1" s="101"/>
    </row>
    <row r="2" spans="1:29" ht="23.25" customHeight="1" x14ac:dyDescent="0.45">
      <c r="A2" s="113"/>
      <c r="B2" s="114"/>
      <c r="C2" s="114"/>
      <c r="D2" s="115"/>
      <c r="E2" s="122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4"/>
      <c r="AA2" s="102" t="s">
        <v>113</v>
      </c>
      <c r="AB2" s="103"/>
    </row>
    <row r="3" spans="1:29" ht="23.25" customHeight="1" thickBot="1" x14ac:dyDescent="0.5">
      <c r="A3" s="116"/>
      <c r="B3" s="117"/>
      <c r="C3" s="117"/>
      <c r="D3" s="118"/>
      <c r="E3" s="125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7"/>
      <c r="AA3" s="104" t="s">
        <v>79</v>
      </c>
      <c r="AB3" s="105"/>
    </row>
    <row r="4" spans="1:29" ht="9.75" customHeight="1" thickBot="1" x14ac:dyDescent="0.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9" ht="48" thickBot="1" x14ac:dyDescent="0.5">
      <c r="A5" s="3" t="s">
        <v>41</v>
      </c>
      <c r="B5" s="4" t="s">
        <v>73</v>
      </c>
      <c r="C5" s="5" t="s">
        <v>5</v>
      </c>
      <c r="D5" s="4" t="str">
        <f>"حق مشارکت هر سال با تعدیل فرضی" &amp; 'ورود اطلاعات'!E8*100 &amp; " درصد"</f>
        <v>حق مشارکت هر سال با تعدیل فرضی30 درصد</v>
      </c>
      <c r="E5" s="4" t="s">
        <v>16</v>
      </c>
      <c r="F5" s="4" t="str">
        <f>"سرمایه فوت هر سال با تعدیل فرضی" &amp; 'ورود اطلاعات'!E9*100 &amp; " درصد"</f>
        <v>سرمایه فوت هر سال با تعدیل فرضی30 درصد</v>
      </c>
      <c r="G5" s="4" t="s">
        <v>17</v>
      </c>
      <c r="H5" s="4" t="s">
        <v>18</v>
      </c>
      <c r="I5" s="4" t="s">
        <v>20</v>
      </c>
      <c r="J5" s="4" t="s">
        <v>23</v>
      </c>
      <c r="K5" s="4" t="s">
        <v>25</v>
      </c>
      <c r="L5" s="4" t="s">
        <v>84</v>
      </c>
      <c r="M5" s="4" t="s">
        <v>30</v>
      </c>
      <c r="N5" s="4" t="s">
        <v>74</v>
      </c>
      <c r="O5" s="4" t="s">
        <v>83</v>
      </c>
      <c r="P5" s="4" t="s">
        <v>31</v>
      </c>
      <c r="Q5" s="4" t="s">
        <v>35</v>
      </c>
      <c r="R5" s="4" t="s">
        <v>36</v>
      </c>
      <c r="S5" s="4" t="str">
        <f>'Offline Table'!$S$2</f>
        <v>سرمایه امراض ممتاز</v>
      </c>
      <c r="T5" s="4" t="s">
        <v>45</v>
      </c>
      <c r="U5" s="4" t="s">
        <v>38</v>
      </c>
      <c r="V5" s="4" t="s">
        <v>43</v>
      </c>
      <c r="W5" s="4" t="s">
        <v>39</v>
      </c>
      <c r="X5" s="4" t="s">
        <v>44</v>
      </c>
      <c r="Y5" s="4" t="s">
        <v>64</v>
      </c>
      <c r="Z5" s="4" t="s">
        <v>65</v>
      </c>
      <c r="AA5" s="4" t="s">
        <v>66</v>
      </c>
      <c r="AB5" s="6" t="s">
        <v>68</v>
      </c>
    </row>
    <row r="6" spans="1:29" x14ac:dyDescent="0.45">
      <c r="A6" s="7">
        <f>'Offline Table'!A3</f>
        <v>1</v>
      </c>
      <c r="B6" s="8">
        <f>'Offline Table'!B3</f>
        <v>1</v>
      </c>
      <c r="C6" s="8">
        <f>'Offline Table'!C3</f>
        <v>40</v>
      </c>
      <c r="D6" s="9">
        <f>IF('Offline Table'!D3&gt;0,'Offline Table'!D3,"")</f>
        <v>30000000</v>
      </c>
      <c r="E6" s="9">
        <f>IF('Offline Table'!E3&gt;0,'Offline Table'!E3,"")</f>
        <v>30000000</v>
      </c>
      <c r="F6" s="9">
        <f>IF('Offline Table'!F3&gt;0,'Offline Table'!F3,"")</f>
        <v>540000000</v>
      </c>
      <c r="G6" s="9">
        <f>IF('Offline Table'!G3&gt;0,'Offline Table'!G3,"")</f>
        <v>3000000</v>
      </c>
      <c r="H6" s="9">
        <f>IF('Offline Table'!H3&gt;0,'Offline Table'!H3,"")</f>
        <v>540000</v>
      </c>
      <c r="I6" s="9">
        <f>IF('Offline Table'!I3&gt;0,'Offline Table'!I3,"")</f>
        <v>1050000</v>
      </c>
      <c r="J6" s="9">
        <f>IF('Offline Table'!J3&gt;0,'Offline Table'!J3,"")</f>
        <v>937425.03137673275</v>
      </c>
      <c r="K6" s="9">
        <f>IF('Offline Table'!K3&gt;0,'Offline Table'!K3,"")</f>
        <v>24472574.968623266</v>
      </c>
      <c r="L6" s="9">
        <f>IF('Offline Table'!L3&gt;0,'Offline Table'!L3,"")</f>
        <v>27409283</v>
      </c>
      <c r="M6" s="9">
        <f>IF('Offline Table'!M3&gt;0,'Offline Table'!M3,"")</f>
        <v>30000000</v>
      </c>
      <c r="N6" s="9">
        <f>IF('Offline Table'!N3&gt;0,'Offline Table'!N3,"")</f>
        <v>29545847.537376765</v>
      </c>
      <c r="O6" s="9" t="str">
        <f>IF('Offline Table'!O3&gt;0,'Offline Table'!O3,"")</f>
        <v/>
      </c>
      <c r="P6" s="9">
        <f>IF('Offline Table'!P3&gt;0,'Offline Table'!P3,"")</f>
        <v>24668354.699999999</v>
      </c>
      <c r="Q6" s="9">
        <f>IF('Offline Table'!Q3&gt;0,'Offline Table'!Q3,"")</f>
        <v>1620000000</v>
      </c>
      <c r="R6" s="9">
        <f>IF('Offline Table'!R3&gt;0,'Offline Table'!R3,"")</f>
        <v>270000000</v>
      </c>
      <c r="S6" s="9">
        <f>IF('Offline Table'!S3&gt;0,'Offline Table'!S3,"")</f>
        <v>540000000</v>
      </c>
      <c r="T6" s="9">
        <f>IF('Offline Table'!T3&gt;0,'Offline Table'!T3,"")</f>
        <v>324000000</v>
      </c>
      <c r="U6" s="9">
        <f>IF('Offline Table'!U3&gt;0,'Offline Table'!U3,"")</f>
        <v>1296000</v>
      </c>
      <c r="V6" s="9">
        <f>IF('Offline Table'!V3&gt;0,'Offline Table'!V3,"")</f>
        <v>216000</v>
      </c>
      <c r="W6" s="9">
        <f>IF('Offline Table'!W3&gt;0,'Offline Table'!W3,"")</f>
        <v>2248697.1861458272</v>
      </c>
      <c r="X6" s="9">
        <f>IF('Offline Table'!X3&gt;0,'Offline Table'!X3,"")</f>
        <v>259200</v>
      </c>
      <c r="Y6" s="9" t="str">
        <f>IFERROR(IF('Offline Table'!Y3&gt;0,'Offline Table'!Y3,""),"")</f>
        <v/>
      </c>
      <c r="Z6" s="9">
        <f>IF('Offline Table'!Z3&gt;0,'Offline Table'!Z3,"")</f>
        <v>4019897.1861458272</v>
      </c>
      <c r="AA6" s="9">
        <f>IF('Offline Table'!AA3&gt;0,'Offline Table'!AA3,"")</f>
        <v>1</v>
      </c>
      <c r="AB6" s="10">
        <f>IF('Offline Table'!AB3&gt;0,'Offline Table'!AB3,"")</f>
        <v>34019897.186145827</v>
      </c>
    </row>
    <row r="7" spans="1:29" x14ac:dyDescent="0.45">
      <c r="A7" s="11">
        <f>'Offline Table'!A4</f>
        <v>2</v>
      </c>
      <c r="B7" s="12">
        <f>'Offline Table'!B4</f>
        <v>2</v>
      </c>
      <c r="C7" s="12">
        <f>'Offline Table'!C4</f>
        <v>41</v>
      </c>
      <c r="D7" s="13">
        <f>IF('Offline Table'!D4&gt;0,'Offline Table'!D4,"")</f>
        <v>39000000</v>
      </c>
      <c r="E7" s="13">
        <f>IF('Offline Table'!E4&gt;0,'Offline Table'!E4,"")</f>
        <v>69000000</v>
      </c>
      <c r="F7" s="13">
        <f>IF('Offline Table'!F4&gt;0,'Offline Table'!F4,"")</f>
        <v>702000000</v>
      </c>
      <c r="G7" s="13">
        <f>IF('Offline Table'!G4&gt;0,'Offline Table'!G4,"")</f>
        <v>1500000</v>
      </c>
      <c r="H7" s="13">
        <f>IF('Offline Table'!H4&gt;0,'Offline Table'!H4,"")</f>
        <v>702000</v>
      </c>
      <c r="I7" s="13">
        <f>IF('Offline Table'!I4&gt;0,'Offline Table'!I4,"")</f>
        <v>1365000.0000000002</v>
      </c>
      <c r="J7" s="13">
        <f>IF('Offline Table'!J4&gt;0,'Offline Table'!J4,"")</f>
        <v>1291856.519850798</v>
      </c>
      <c r="K7" s="13">
        <f>IF('Offline Table'!K4&gt;0,'Offline Table'!K4,"")</f>
        <v>34141143.480149202</v>
      </c>
      <c r="L7" s="13">
        <f>IF('Offline Table'!L4&gt;0,'Offline Table'!L4,"")</f>
        <v>68936477.657767117</v>
      </c>
      <c r="M7" s="13">
        <f>IF('Offline Table'!M4&gt;0,'Offline Table'!M4,"")</f>
        <v>78000000</v>
      </c>
      <c r="N7" s="13">
        <f>IF('Offline Table'!N4&gt;0,'Offline Table'!N4,"")</f>
        <v>76889584.734366924</v>
      </c>
      <c r="O7" s="13" t="str">
        <f>IF('Offline Table'!O4&gt;0,'Offline Table'!O4,"")</f>
        <v/>
      </c>
      <c r="P7" s="13">
        <f>IF('Offline Table'!P4&gt;0,'Offline Table'!P4,"")</f>
        <v>62732194.668568082</v>
      </c>
      <c r="Q7" s="13">
        <f>IF('Offline Table'!Q4&gt;0,'Offline Table'!Q4,"")</f>
        <v>2106000000</v>
      </c>
      <c r="R7" s="13">
        <f>IF('Offline Table'!R4&gt;0,'Offline Table'!R4,"")</f>
        <v>351000000</v>
      </c>
      <c r="S7" s="13">
        <f>IF('Offline Table'!S4&gt;0,'Offline Table'!S4,"")</f>
        <v>702000000</v>
      </c>
      <c r="T7" s="13">
        <f>IF('Offline Table'!T4&gt;0,'Offline Table'!T4,"")</f>
        <v>421200000</v>
      </c>
      <c r="U7" s="13">
        <f>IF('Offline Table'!U4&gt;0,'Offline Table'!U4,"")</f>
        <v>1684800</v>
      </c>
      <c r="V7" s="13">
        <f>IF('Offline Table'!V4&gt;0,'Offline Table'!V4,"")</f>
        <v>280800</v>
      </c>
      <c r="W7" s="13">
        <f>IF('Offline Table'!W4&gt;0,'Offline Table'!W4,"")</f>
        <v>3247164.2415054888</v>
      </c>
      <c r="X7" s="13">
        <f>IF('Offline Table'!X4&gt;0,'Offline Table'!X4,"")</f>
        <v>336960</v>
      </c>
      <c r="Y7" s="9" t="str">
        <f>IFERROR(IF('Offline Table'!Y4&gt;0,'Offline Table'!Y4,""),"")</f>
        <v/>
      </c>
      <c r="Z7" s="13">
        <f>IF('Offline Table'!Z4&gt;0,'Offline Table'!Z4,"")</f>
        <v>5549724.2415054888</v>
      </c>
      <c r="AA7" s="13">
        <f>IF('Offline Table'!AA4&gt;0,'Offline Table'!AA4,"")</f>
        <v>1</v>
      </c>
      <c r="AB7" s="14">
        <f>IF('Offline Table'!AB4&gt;0,'Offline Table'!AB4,"")</f>
        <v>44549724.241505489</v>
      </c>
      <c r="AC7" s="15"/>
    </row>
    <row r="8" spans="1:29" x14ac:dyDescent="0.45">
      <c r="A8" s="11">
        <f>'Offline Table'!A5</f>
        <v>3</v>
      </c>
      <c r="B8" s="12">
        <f>'Offline Table'!B5</f>
        <v>3</v>
      </c>
      <c r="C8" s="12">
        <f>'Offline Table'!C5</f>
        <v>42</v>
      </c>
      <c r="D8" s="13">
        <f>IF('Offline Table'!D5&gt;0,'Offline Table'!D5,"")</f>
        <v>50700000</v>
      </c>
      <c r="E8" s="13">
        <f>IF('Offline Table'!E5&gt;0,'Offline Table'!E5,"")</f>
        <v>119700000</v>
      </c>
      <c r="F8" s="13">
        <f>IF('Offline Table'!F5&gt;0,'Offline Table'!F5,"")</f>
        <v>912600000</v>
      </c>
      <c r="G8" s="13">
        <f>IF('Offline Table'!G5&gt;0,'Offline Table'!G5,"")</f>
        <v>1500000</v>
      </c>
      <c r="H8" s="13">
        <f>IF('Offline Table'!H5&gt;0,'Offline Table'!H5,"")</f>
        <v>912600</v>
      </c>
      <c r="I8" s="13">
        <f>IF('Offline Table'!I5&gt;0,'Offline Table'!I5,"")</f>
        <v>1774500.0000000002</v>
      </c>
      <c r="J8" s="13">
        <f>IF('Offline Table'!J5&gt;0,'Offline Table'!J5,"")</f>
        <v>1784360.4321998542</v>
      </c>
      <c r="K8" s="13">
        <f>IF('Offline Table'!K5&gt;0,'Offline Table'!K5,"")</f>
        <v>44728539.567800149</v>
      </c>
      <c r="L8" s="13">
        <f>IF('Offline Table'!L5&gt;0,'Offline Table'!L5,"")</f>
        <v>127304819.29263535</v>
      </c>
      <c r="M8" s="13">
        <f>IF('Offline Table'!M5&gt;0,'Offline Table'!M5,"")</f>
        <v>152100000</v>
      </c>
      <c r="N8" s="13">
        <f>IF('Offline Table'!N5&gt;0,'Offline Table'!N5,"")</f>
        <v>146830097.07889804</v>
      </c>
      <c r="O8" s="13" t="str">
        <f>IF('Offline Table'!O5&gt;0,'Offline Table'!O5,"")</f>
        <v/>
      </c>
      <c r="P8" s="13">
        <f>IF('Offline Table'!P5&gt;0,'Offline Table'!P5,"")</f>
        <v>117120433.74922453</v>
      </c>
      <c r="Q8" s="13">
        <f>IF('Offline Table'!Q5&gt;0,'Offline Table'!Q5,"")</f>
        <v>2737800000</v>
      </c>
      <c r="R8" s="13">
        <f>IF('Offline Table'!R5&gt;0,'Offline Table'!R5,"")</f>
        <v>456300000</v>
      </c>
      <c r="S8" s="13">
        <f>IF('Offline Table'!S5&gt;0,'Offline Table'!S5,"")</f>
        <v>912600000</v>
      </c>
      <c r="T8" s="13">
        <f>IF('Offline Table'!T5&gt;0,'Offline Table'!T5,"")</f>
        <v>547560000</v>
      </c>
      <c r="U8" s="13">
        <f>IF('Offline Table'!U5&gt;0,'Offline Table'!U5,"")</f>
        <v>2190240</v>
      </c>
      <c r="V8" s="13">
        <f>IF('Offline Table'!V5&gt;0,'Offline Table'!V5,"")</f>
        <v>365040</v>
      </c>
      <c r="W8" s="13">
        <f>IF('Offline Table'!W5&gt;0,'Offline Table'!W5,"")</f>
        <v>4691355.087378473</v>
      </c>
      <c r="X8" s="13">
        <f>IF('Offline Table'!X5&gt;0,'Offline Table'!X5,"")</f>
        <v>438048</v>
      </c>
      <c r="Y8" s="9" t="str">
        <f>IFERROR(IF('Offline Table'!Y5&gt;0,'Offline Table'!Y5,""),"")</f>
        <v/>
      </c>
      <c r="Z8" s="13">
        <f>IF('Offline Table'!Z5&gt;0,'Offline Table'!Z5,"")</f>
        <v>7684683.087378473</v>
      </c>
      <c r="AA8" s="13">
        <f>IF('Offline Table'!AA5&gt;0,'Offline Table'!AA5,"")</f>
        <v>1</v>
      </c>
      <c r="AB8" s="14">
        <f>IF('Offline Table'!AB5&gt;0,'Offline Table'!AB5,"")</f>
        <v>58384683.087378472</v>
      </c>
    </row>
    <row r="9" spans="1:29" x14ac:dyDescent="0.45">
      <c r="A9" s="11">
        <f>'Offline Table'!A6</f>
        <v>4</v>
      </c>
      <c r="B9" s="12">
        <f>'Offline Table'!B6</f>
        <v>4</v>
      </c>
      <c r="C9" s="12">
        <f>'Offline Table'!C6</f>
        <v>43</v>
      </c>
      <c r="D9" s="13">
        <f>IF('Offline Table'!D6&gt;0,'Offline Table'!D6,"")</f>
        <v>65910000</v>
      </c>
      <c r="E9" s="13">
        <f>IF('Offline Table'!E6&gt;0,'Offline Table'!E6,"")</f>
        <v>185610000</v>
      </c>
      <c r="F9" s="13">
        <f>IF('Offline Table'!F6&gt;0,'Offline Table'!F6,"")</f>
        <v>1186380000</v>
      </c>
      <c r="G9" s="13">
        <f>IF('Offline Table'!G6&gt;0,'Offline Table'!G6,"")</f>
        <v>1500000</v>
      </c>
      <c r="H9" s="13">
        <f>IF('Offline Table'!H6&gt;0,'Offline Table'!H6,"")</f>
        <v>1186380</v>
      </c>
      <c r="I9" s="13">
        <f>IF('Offline Table'!I6&gt;0,'Offline Table'!I6,"")</f>
        <v>2306850</v>
      </c>
      <c r="J9" s="13">
        <f>IF('Offline Table'!J6&gt;0,'Offline Table'!J6,"")</f>
        <v>2456916.0059661218</v>
      </c>
      <c r="K9" s="13">
        <f>IF('Offline Table'!K6&gt;0,'Offline Table'!K6,"")</f>
        <v>58459853.994033881</v>
      </c>
      <c r="L9" s="13">
        <f>IF('Offline Table'!L6&gt;0,'Offline Table'!L6,"")</f>
        <v>208056434.08106956</v>
      </c>
      <c r="M9" s="13">
        <f>IF('Offline Table'!M6&gt;0,'Offline Table'!M6,"")</f>
        <v>263640000</v>
      </c>
      <c r="N9" s="13">
        <f>IF('Offline Table'!N6&gt;0,'Offline Table'!N6,"")</f>
        <v>247847462.03180605</v>
      </c>
      <c r="O9" s="13" t="str">
        <f>IF('Offline Table'!O6&gt;0,'Offline Table'!O6,"")</f>
        <v/>
      </c>
      <c r="P9" s="13">
        <f>IF('Offline Table'!P6&gt;0,'Offline Table'!P6,"")</f>
        <v>193492483.69539469</v>
      </c>
      <c r="Q9" s="13">
        <f>IF('Offline Table'!Q6&gt;0,'Offline Table'!Q6,"")</f>
        <v>3559140000</v>
      </c>
      <c r="R9" s="13">
        <f>IF('Offline Table'!R6&gt;0,'Offline Table'!R6,"")</f>
        <v>593190000</v>
      </c>
      <c r="S9" s="13">
        <f>IF('Offline Table'!S6&gt;0,'Offline Table'!S6,"")</f>
        <v>1186380000</v>
      </c>
      <c r="T9" s="13">
        <f>IF('Offline Table'!T6&gt;0,'Offline Table'!T6,"")</f>
        <v>711828000</v>
      </c>
      <c r="U9" s="13">
        <f>IF('Offline Table'!U6&gt;0,'Offline Table'!U6,"")</f>
        <v>2847312</v>
      </c>
      <c r="V9" s="13">
        <f>IF('Offline Table'!V6&gt;0,'Offline Table'!V6,"")</f>
        <v>474552</v>
      </c>
      <c r="W9" s="13">
        <f>IF('Offline Table'!W6&gt;0,'Offline Table'!W6,"")</f>
        <v>6774282.6330920476</v>
      </c>
      <c r="X9" s="13">
        <f>IF('Offline Table'!X6&gt;0,'Offline Table'!X6,"")</f>
        <v>569462.4</v>
      </c>
      <c r="Y9" s="9" t="str">
        <f>IFERROR(IF('Offline Table'!Y6&gt;0,'Offline Table'!Y6,""),"")</f>
        <v/>
      </c>
      <c r="Z9" s="13">
        <f>IF('Offline Table'!Z6&gt;0,'Offline Table'!Z6,"")</f>
        <v>10665609.033092048</v>
      </c>
      <c r="AA9" s="13">
        <f>IF('Offline Table'!AA6&gt;0,'Offline Table'!AA6,"")</f>
        <v>1</v>
      </c>
      <c r="AB9" s="14">
        <f>IF('Offline Table'!AB6&gt;0,'Offline Table'!AB6,"")</f>
        <v>76575609.033092052</v>
      </c>
    </row>
    <row r="10" spans="1:29" x14ac:dyDescent="0.45">
      <c r="A10" s="11">
        <f>'Offline Table'!A7</f>
        <v>5</v>
      </c>
      <c r="B10" s="12">
        <f>'Offline Table'!B7</f>
        <v>5</v>
      </c>
      <c r="C10" s="12">
        <f>'Offline Table'!C7</f>
        <v>44</v>
      </c>
      <c r="D10" s="13">
        <f>IF('Offline Table'!D7&gt;0,'Offline Table'!D7,"")</f>
        <v>85683000</v>
      </c>
      <c r="E10" s="13">
        <f>IF('Offline Table'!E7&gt;0,'Offline Table'!E7,"")</f>
        <v>271293000</v>
      </c>
      <c r="F10" s="13">
        <f>IF('Offline Table'!F7&gt;0,'Offline Table'!F7,"")</f>
        <v>1542294000</v>
      </c>
      <c r="G10" s="13">
        <f>IF('Offline Table'!G7&gt;0,'Offline Table'!G7,"")</f>
        <v>1500000</v>
      </c>
      <c r="H10" s="13">
        <f>IF('Offline Table'!H7&gt;0,'Offline Table'!H7,"")</f>
        <v>1542294</v>
      </c>
      <c r="I10" s="13">
        <f>IF('Offline Table'!I7&gt;0,'Offline Table'!I7,"")</f>
        <v>2998905.0000000005</v>
      </c>
      <c r="J10" s="13">
        <f>IF('Offline Table'!J7&gt;0,'Offline Table'!J7,"")</f>
        <v>3436306.7831721222</v>
      </c>
      <c r="K10" s="13">
        <f>IF('Offline Table'!K7&gt;0,'Offline Table'!K7,"")</f>
        <v>76205494.216827869</v>
      </c>
      <c r="L10" s="13">
        <f>IF('Offline Table'!L7&gt;0,'Offline Table'!L7,"")</f>
        <v>312688121.12768722</v>
      </c>
      <c r="M10" s="13">
        <f>IF('Offline Table'!M7&gt;0,'Offline Table'!M7,"")</f>
        <v>428415000</v>
      </c>
      <c r="N10" s="13">
        <f>IF('Offline Table'!N7&gt;0,'Offline Table'!N7,"")</f>
        <v>391230561.21531546</v>
      </c>
      <c r="O10" s="13" t="str">
        <f>IF('Offline Table'!O7&gt;0,'Offline Table'!O7,"")</f>
        <v/>
      </c>
      <c r="P10" s="13">
        <f>IF('Offline Table'!P7&gt;0,'Offline Table'!P7,"")</f>
        <v>293926833.86002594</v>
      </c>
      <c r="Q10" s="13">
        <f>IF('Offline Table'!Q7&gt;0,'Offline Table'!Q7,"")</f>
        <v>4626882000</v>
      </c>
      <c r="R10" s="13">
        <f>IF('Offline Table'!R7&gt;0,'Offline Table'!R7,"")</f>
        <v>771147000</v>
      </c>
      <c r="S10" s="13">
        <f>IF('Offline Table'!S7&gt;0,'Offline Table'!S7,"")</f>
        <v>1542294000</v>
      </c>
      <c r="T10" s="13">
        <f>IF('Offline Table'!T7&gt;0,'Offline Table'!T7,"")</f>
        <v>925376400</v>
      </c>
      <c r="U10" s="13">
        <f>IF('Offline Table'!U7&gt;0,'Offline Table'!U7,"")</f>
        <v>3701505.6</v>
      </c>
      <c r="V10" s="13">
        <f>IF('Offline Table'!V7&gt;0,'Offline Table'!V7,"")</f>
        <v>616917.6</v>
      </c>
      <c r="W10" s="13">
        <f>IF('Offline Table'!W7&gt;0,'Offline Table'!W7,"")</f>
        <v>9757719.0475938898</v>
      </c>
      <c r="X10" s="13">
        <f>IF('Offline Table'!X7&gt;0,'Offline Table'!X7,"")</f>
        <v>740301.12</v>
      </c>
      <c r="Y10" s="9" t="str">
        <f>IFERROR(IF('Offline Table'!Y7&gt;0,'Offline Table'!Y7,""),"")</f>
        <v/>
      </c>
      <c r="Z10" s="13">
        <f>IF('Offline Table'!Z7&gt;0,'Offline Table'!Z7,"")</f>
        <v>14816443.36759389</v>
      </c>
      <c r="AA10" s="13">
        <f>IF('Offline Table'!AA7&gt;0,'Offline Table'!AA7,"")</f>
        <v>1</v>
      </c>
      <c r="AB10" s="14">
        <f>IF('Offline Table'!AB7&gt;0,'Offline Table'!AB7,"")</f>
        <v>100499443.36759388</v>
      </c>
    </row>
    <row r="11" spans="1:29" x14ac:dyDescent="0.45">
      <c r="A11" s="11">
        <f>'Offline Table'!A8</f>
        <v>6</v>
      </c>
      <c r="B11" s="12">
        <f>'Offline Table'!B8</f>
        <v>6</v>
      </c>
      <c r="C11" s="12">
        <f>'Offline Table'!C8</f>
        <v>45</v>
      </c>
      <c r="D11" s="13">
        <f>IF('Offline Table'!D8&gt;0,'Offline Table'!D8,"")</f>
        <v>111387900</v>
      </c>
      <c r="E11" s="13">
        <f>IF('Offline Table'!E8&gt;0,'Offline Table'!E8,"")</f>
        <v>382680900</v>
      </c>
      <c r="F11" s="13">
        <f>IF('Offline Table'!F8&gt;0,'Offline Table'!F8,"")</f>
        <v>2004982200</v>
      </c>
      <c r="G11" s="13" t="str">
        <f>IF('Offline Table'!G8&gt;0,'Offline Table'!G8,"")</f>
        <v/>
      </c>
      <c r="H11" s="13" t="str">
        <f>IF('Offline Table'!H8&gt;0,'Offline Table'!H8,"")</f>
        <v/>
      </c>
      <c r="I11" s="13">
        <f>IF('Offline Table'!I8&gt;0,'Offline Table'!I8,"")</f>
        <v>3898576.5000000005</v>
      </c>
      <c r="J11" s="13">
        <f>IF('Offline Table'!J8&gt;0,'Offline Table'!J8,"")</f>
        <v>4825243.2932286505</v>
      </c>
      <c r="K11" s="13">
        <f>IF('Offline Table'!K8&gt;0,'Offline Table'!K8,"")</f>
        <v>102664080.20677134</v>
      </c>
      <c r="L11" s="13">
        <f>IF('Offline Table'!L8&gt;0,'Offline Table'!L8,"")</f>
        <v>456887421.46790451</v>
      </c>
      <c r="M11" s="13">
        <f>IF('Offline Table'!M8&gt;0,'Offline Table'!M8,"")</f>
        <v>668327400</v>
      </c>
      <c r="N11" s="13">
        <f>IF('Offline Table'!N8&gt;0,'Offline Table'!N8,"")</f>
        <v>596281175.71173847</v>
      </c>
      <c r="O11" s="13" t="str">
        <f>IF('Offline Table'!O8&gt;0,'Offline Table'!O8,"")</f>
        <v/>
      </c>
      <c r="P11" s="13">
        <f>IF('Offline Table'!P8&gt;0,'Offline Table'!P8,"")</f>
        <v>434043050.39450926</v>
      </c>
      <c r="Q11" s="13">
        <f>IF('Offline Table'!Q8&gt;0,'Offline Table'!Q8,"")</f>
        <v>6014946600</v>
      </c>
      <c r="R11" s="13">
        <f>IF('Offline Table'!R8&gt;0,'Offline Table'!R8,"")</f>
        <v>1002491100</v>
      </c>
      <c r="S11" s="13">
        <f>IF('Offline Table'!S8&gt;0,'Offline Table'!S8,"")</f>
        <v>2004982200</v>
      </c>
      <c r="T11" s="13">
        <f>IF('Offline Table'!T8&gt;0,'Offline Table'!T8,"")</f>
        <v>1202989320</v>
      </c>
      <c r="U11" s="13">
        <f>IF('Offline Table'!U8&gt;0,'Offline Table'!U8,"")</f>
        <v>4811957.28</v>
      </c>
      <c r="V11" s="13">
        <f>IF('Offline Table'!V8&gt;0,'Offline Table'!V8,"")</f>
        <v>801992.88</v>
      </c>
      <c r="W11" s="13">
        <f>IF('Offline Table'!W8&gt;0,'Offline Table'!W8,"")</f>
        <v>14060714.006226175</v>
      </c>
      <c r="X11" s="13">
        <f>IF('Offline Table'!X8&gt;0,'Offline Table'!X8,"")</f>
        <v>962391.45600000001</v>
      </c>
      <c r="Y11" s="9" t="str">
        <f>IFERROR(IF('Offline Table'!Y8&gt;0,'Offline Table'!Y8,""),"")</f>
        <v/>
      </c>
      <c r="Z11" s="13">
        <f>IF('Offline Table'!Z8&gt;0,'Offline Table'!Z8,"")</f>
        <v>20637055.622226175</v>
      </c>
      <c r="AA11" s="13">
        <f>IF('Offline Table'!AA8&gt;0,'Offline Table'!AA8,"")</f>
        <v>1</v>
      </c>
      <c r="AB11" s="14">
        <f>IF('Offline Table'!AB8&gt;0,'Offline Table'!AB8,"")</f>
        <v>132024955.62222618</v>
      </c>
    </row>
    <row r="12" spans="1:29" x14ac:dyDescent="0.45">
      <c r="A12" s="11">
        <f>'Offline Table'!A9</f>
        <v>7</v>
      </c>
      <c r="B12" s="12">
        <f>'Offline Table'!B9</f>
        <v>7</v>
      </c>
      <c r="C12" s="12">
        <f>'Offline Table'!C9</f>
        <v>46</v>
      </c>
      <c r="D12" s="13">
        <f>IF('Offline Table'!D9&gt;0,'Offline Table'!D9,"")</f>
        <v>144804270</v>
      </c>
      <c r="E12" s="13">
        <f>IF('Offline Table'!E9&gt;0,'Offline Table'!E9,"")</f>
        <v>527485170</v>
      </c>
      <c r="F12" s="13">
        <f>IF('Offline Table'!F9&gt;0,'Offline Table'!F9,"")</f>
        <v>2606476860</v>
      </c>
      <c r="G12" s="13" t="str">
        <f>IF('Offline Table'!G9&gt;0,'Offline Table'!G9,"")</f>
        <v/>
      </c>
      <c r="H12" s="13" t="str">
        <f>IF('Offline Table'!H9&gt;0,'Offline Table'!H9,"")</f>
        <v/>
      </c>
      <c r="I12" s="13">
        <f>IF('Offline Table'!I9&gt;0,'Offline Table'!I9,"")</f>
        <v>5068149.45</v>
      </c>
      <c r="J12" s="13">
        <f>IF('Offline Table'!J9&gt;0,'Offline Table'!J9,"")</f>
        <v>6741688.3272393448</v>
      </c>
      <c r="K12" s="13">
        <f>IF('Offline Table'!K9&gt;0,'Offline Table'!K9,"")</f>
        <v>132994432.22276065</v>
      </c>
      <c r="L12" s="13">
        <f>IF('Offline Table'!L9&gt;0,'Offline Table'!L9,"")</f>
        <v>648870039.05973172</v>
      </c>
      <c r="M12" s="13">
        <f>IF('Offline Table'!M9&gt;0,'Offline Table'!M9,"")</f>
        <v>1013629890</v>
      </c>
      <c r="N12" s="13">
        <f>IF('Offline Table'!N9&gt;0,'Offline Table'!N9,"")</f>
        <v>880457653.20512235</v>
      </c>
      <c r="O12" s="13" t="str">
        <f>IF('Offline Table'!O9&gt;0,'Offline Table'!O9,"")</f>
        <v/>
      </c>
      <c r="P12" s="13">
        <f>IF('Offline Table'!P9&gt;0,'Offline Table'!P9,"")</f>
        <v>622915237.49734247</v>
      </c>
      <c r="Q12" s="13">
        <f>IF('Offline Table'!Q9&gt;0,'Offline Table'!Q9,"")</f>
        <v>7819430580</v>
      </c>
      <c r="R12" s="13">
        <f>IF('Offline Table'!R9&gt;0,'Offline Table'!R9,"")</f>
        <v>1303238430</v>
      </c>
      <c r="S12" s="13">
        <f>IF('Offline Table'!S9&gt;0,'Offline Table'!S9,"")</f>
        <v>2606476860</v>
      </c>
      <c r="T12" s="13">
        <f>IF('Offline Table'!T9&gt;0,'Offline Table'!T9,"")</f>
        <v>1563886116</v>
      </c>
      <c r="U12" s="13">
        <f>IF('Offline Table'!U9&gt;0,'Offline Table'!U9,"")</f>
        <v>6255544.4640000006</v>
      </c>
      <c r="V12" s="13">
        <f>IF('Offline Table'!V9&gt;0,'Offline Table'!V9,"")</f>
        <v>1042590.7440000001</v>
      </c>
      <c r="W12" s="13">
        <f>IF('Offline Table'!W9&gt;0,'Offline Table'!W9,"")</f>
        <v>20048572.279359296</v>
      </c>
      <c r="X12" s="13">
        <f>IF('Offline Table'!X9&gt;0,'Offline Table'!X9,"")</f>
        <v>1251108.8928</v>
      </c>
      <c r="Y12" s="9" t="str">
        <f>IFERROR(IF('Offline Table'!Y9&gt;0,'Offline Table'!Y9,""),"")</f>
        <v/>
      </c>
      <c r="Z12" s="13">
        <f>IF('Offline Table'!Z9&gt;0,'Offline Table'!Z9,"")</f>
        <v>28597816.380159296</v>
      </c>
      <c r="AA12" s="13">
        <f>IF('Offline Table'!AA9&gt;0,'Offline Table'!AA9,"")</f>
        <v>1</v>
      </c>
      <c r="AB12" s="14">
        <f>IF('Offline Table'!AB9&gt;0,'Offline Table'!AB9,"")</f>
        <v>173402086.38015929</v>
      </c>
    </row>
    <row r="13" spans="1:29" x14ac:dyDescent="0.45">
      <c r="A13" s="11">
        <f>'Offline Table'!A10</f>
        <v>8</v>
      </c>
      <c r="B13" s="12">
        <f>'Offline Table'!B10</f>
        <v>8</v>
      </c>
      <c r="C13" s="12">
        <f>'Offline Table'!C10</f>
        <v>47</v>
      </c>
      <c r="D13" s="13">
        <f>IF('Offline Table'!D10&gt;0,'Offline Table'!D10,"")</f>
        <v>188245551</v>
      </c>
      <c r="E13" s="13">
        <f>IF('Offline Table'!E10&gt;0,'Offline Table'!E10,"")</f>
        <v>715730721</v>
      </c>
      <c r="F13" s="13">
        <f>IF('Offline Table'!F10&gt;0,'Offline Table'!F10,"")</f>
        <v>3388419918</v>
      </c>
      <c r="G13" s="13" t="str">
        <f>IF('Offline Table'!G10&gt;0,'Offline Table'!G10,"")</f>
        <v/>
      </c>
      <c r="H13" s="13" t="str">
        <f>IF('Offline Table'!H10&gt;0,'Offline Table'!H10,"")</f>
        <v/>
      </c>
      <c r="I13" s="13">
        <f>IF('Offline Table'!I10&gt;0,'Offline Table'!I10,"")</f>
        <v>6588594.2850000011</v>
      </c>
      <c r="J13" s="13">
        <f>IF('Offline Table'!J10&gt;0,'Offline Table'!J10,"")</f>
        <v>9482740.9372287523</v>
      </c>
      <c r="K13" s="13">
        <f>IF('Offline Table'!K10&gt;0,'Offline Table'!K10,"")</f>
        <v>172174215.77777123</v>
      </c>
      <c r="L13" s="13">
        <f>IF('Offline Table'!L10&gt;0,'Offline Table'!L10,"")</f>
        <v>903148680.3212533</v>
      </c>
      <c r="M13" s="13">
        <f>IF('Offline Table'!M10&gt;0,'Offline Table'!M10,"")</f>
        <v>1505964408</v>
      </c>
      <c r="N13" s="13">
        <f>IF('Offline Table'!N10&gt;0,'Offline Table'!N10,"")</f>
        <v>1270847091.2369277</v>
      </c>
      <c r="O13" s="13" t="str">
        <f>IF('Offline Table'!O10&gt;0,'Offline Table'!O10,"")</f>
        <v/>
      </c>
      <c r="P13" s="13">
        <f>IF('Offline Table'!P10&gt;0,'Offline Table'!P10,"")</f>
        <v>903148680.3212533</v>
      </c>
      <c r="Q13" s="13">
        <f>IF('Offline Table'!Q10&gt;0,'Offline Table'!Q10,"")</f>
        <v>10165259754</v>
      </c>
      <c r="R13" s="13">
        <f>IF('Offline Table'!R10&gt;0,'Offline Table'!R10,"")</f>
        <v>1694209959</v>
      </c>
      <c r="S13" s="13">
        <f>IF('Offline Table'!S10&gt;0,'Offline Table'!S10,"")</f>
        <v>3388419918</v>
      </c>
      <c r="T13" s="13">
        <f>IF('Offline Table'!T10&gt;0,'Offline Table'!T10,"")</f>
        <v>2033051950.8000002</v>
      </c>
      <c r="U13" s="13">
        <f>IF('Offline Table'!U10&gt;0,'Offline Table'!U10,"")</f>
        <v>8132207.8032</v>
      </c>
      <c r="V13" s="13">
        <f>IF('Offline Table'!V10&gt;0,'Offline Table'!V10,"")</f>
        <v>1355367.9672000001</v>
      </c>
      <c r="W13" s="13">
        <f>IF('Offline Table'!W10&gt;0,'Offline Table'!W10,"")</f>
        <v>28402365.967184167</v>
      </c>
      <c r="X13" s="13">
        <f>IF('Offline Table'!X10&gt;0,'Offline Table'!X10,"")</f>
        <v>1626441.5606400003</v>
      </c>
      <c r="Y13" s="9" t="str">
        <f>IFERROR(IF('Offline Table'!Y10&gt;0,'Offline Table'!Y10,""),"")</f>
        <v/>
      </c>
      <c r="Z13" s="13">
        <f>IF('Offline Table'!Z10&gt;0,'Offline Table'!Z10,"")</f>
        <v>39516383.298224166</v>
      </c>
      <c r="AA13" s="13">
        <f>IF('Offline Table'!AA10&gt;0,'Offline Table'!AA10,"")</f>
        <v>1</v>
      </c>
      <c r="AB13" s="14">
        <f>IF('Offline Table'!AB10&gt;0,'Offline Table'!AB10,"")</f>
        <v>227761934.29822415</v>
      </c>
    </row>
    <row r="14" spans="1:29" x14ac:dyDescent="0.45">
      <c r="A14" s="11">
        <f>'Offline Table'!A11</f>
        <v>9</v>
      </c>
      <c r="B14" s="12">
        <f>'Offline Table'!B11</f>
        <v>9</v>
      </c>
      <c r="C14" s="12">
        <f>'Offline Table'!C11</f>
        <v>48</v>
      </c>
      <c r="D14" s="13">
        <f>IF('Offline Table'!D11&gt;0,'Offline Table'!D11,"")</f>
        <v>244719216.30000001</v>
      </c>
      <c r="E14" s="13">
        <f>IF('Offline Table'!E11&gt;0,'Offline Table'!E11,"")</f>
        <v>960449937</v>
      </c>
      <c r="F14" s="13">
        <f>IF('Offline Table'!F11&gt;0,'Offline Table'!F11,"")</f>
        <v>4404945893</v>
      </c>
      <c r="G14" s="13" t="str">
        <f>IF('Offline Table'!G11&gt;0,'Offline Table'!G11,"")</f>
        <v/>
      </c>
      <c r="H14" s="13" t="str">
        <f>IF('Offline Table'!H11&gt;0,'Offline Table'!H11,"")</f>
        <v/>
      </c>
      <c r="I14" s="13">
        <f>IF('Offline Table'!I11&gt;0,'Offline Table'!I11,"")</f>
        <v>8565172.5705000013</v>
      </c>
      <c r="J14" s="13">
        <f>IF('Offline Table'!J11&gt;0,'Offline Table'!J11,"")</f>
        <v>13405496.51726323</v>
      </c>
      <c r="K14" s="13">
        <f>IF('Offline Table'!K11&gt;0,'Offline Table'!K11,"")</f>
        <v>222748547.21223679</v>
      </c>
      <c r="L14" s="13">
        <f>IF('Offline Table'!L11&gt;0,'Offline Table'!L11,"")</f>
        <v>1238486950.2868392</v>
      </c>
      <c r="M14" s="13">
        <f>IF('Offline Table'!M11&gt;0,'Offline Table'!M11,"")</f>
        <v>2202472946.7000003</v>
      </c>
      <c r="N14" s="13">
        <f>IF('Offline Table'!N11&gt;0,'Offline Table'!N11,"")</f>
        <v>1803224592.1276867</v>
      </c>
      <c r="O14" s="13" t="str">
        <f>IF('Offline Table'!O11&gt;0,'Offline Table'!O11,"")</f>
        <v/>
      </c>
      <c r="P14" s="13">
        <f>IF('Offline Table'!P11&gt;0,'Offline Table'!P11,"")</f>
        <v>1238486950.2868392</v>
      </c>
      <c r="Q14" s="13">
        <f>IF('Offline Table'!Q11&gt;0,'Offline Table'!Q11,"")</f>
        <v>13214837680.200001</v>
      </c>
      <c r="R14" s="13">
        <f>IF('Offline Table'!R11&gt;0,'Offline Table'!R11,"")</f>
        <v>2202472946.7000003</v>
      </c>
      <c r="S14" s="13">
        <f>IF('Offline Table'!S11&gt;0,'Offline Table'!S11,"")</f>
        <v>4404945893.4000006</v>
      </c>
      <c r="T14" s="13">
        <f>IF('Offline Table'!T11&gt;0,'Offline Table'!T11,"")</f>
        <v>2642967536.0400004</v>
      </c>
      <c r="U14" s="13">
        <f>IF('Offline Table'!U11&gt;0,'Offline Table'!U11,"")</f>
        <v>10571870.144160001</v>
      </c>
      <c r="V14" s="13">
        <f>IF('Offline Table'!V11&gt;0,'Offline Table'!V11,"")</f>
        <v>1761978.3573600003</v>
      </c>
      <c r="W14" s="13">
        <f>IF('Offline Table'!W11&gt;0,'Offline Table'!W11,"")</f>
        <v>40016117.076262258</v>
      </c>
      <c r="X14" s="13">
        <f>IF('Offline Table'!X11&gt;0,'Offline Table'!X11,"")</f>
        <v>2114374.0288320007</v>
      </c>
      <c r="Y14" s="9" t="str">
        <f>IFERROR(IF('Offline Table'!Y11&gt;0,'Offline Table'!Y11,""),"")</f>
        <v/>
      </c>
      <c r="Z14" s="13">
        <f>IF('Offline Table'!Z11&gt;0,'Offline Table'!Z11,"")</f>
        <v>54464339.606614262</v>
      </c>
      <c r="AA14" s="13">
        <f>IF('Offline Table'!AA11&gt;0,'Offline Table'!AA11,"")</f>
        <v>1</v>
      </c>
      <c r="AB14" s="14">
        <f>IF('Offline Table'!AB11&gt;0,'Offline Table'!AB11,"")</f>
        <v>299183555.9066143</v>
      </c>
    </row>
    <row r="15" spans="1:29" x14ac:dyDescent="0.45">
      <c r="A15" s="11">
        <f>'Offline Table'!A12</f>
        <v>10</v>
      </c>
      <c r="B15" s="12">
        <f>'Offline Table'!B12</f>
        <v>10</v>
      </c>
      <c r="C15" s="12">
        <f>'Offline Table'!C12</f>
        <v>49</v>
      </c>
      <c r="D15" s="13">
        <f>IF('Offline Table'!D12&gt;0,'Offline Table'!D12,"")</f>
        <v>318134981.19</v>
      </c>
      <c r="E15" s="13">
        <f>IF('Offline Table'!E12&gt;0,'Offline Table'!E12,"")</f>
        <v>1278584918</v>
      </c>
      <c r="F15" s="13">
        <f>IF('Offline Table'!F12&gt;0,'Offline Table'!F12,"")</f>
        <v>5726429661</v>
      </c>
      <c r="G15" s="13" t="str">
        <f>IF('Offline Table'!G12&gt;0,'Offline Table'!G12,"")</f>
        <v/>
      </c>
      <c r="H15" s="13" t="str">
        <f>IF('Offline Table'!H12&gt;0,'Offline Table'!H12,"")</f>
        <v/>
      </c>
      <c r="I15" s="13">
        <f>IF('Offline Table'!I12&gt;0,'Offline Table'!I12,"")</f>
        <v>11134724.341650002</v>
      </c>
      <c r="J15" s="13">
        <f>IF('Offline Table'!J12&gt;0,'Offline Table'!J12,"")</f>
        <v>18959548.263203859</v>
      </c>
      <c r="K15" s="13">
        <f>IF('Offline Table'!K12&gt;0,'Offline Table'!K12,"")</f>
        <v>288040708.58514613</v>
      </c>
      <c r="L15" s="13">
        <f>IF('Offline Table'!L12&gt;0,'Offline Table'!L12,"")</f>
        <v>1679180424.7591841</v>
      </c>
      <c r="M15" s="13">
        <f>IF('Offline Table'!M12&gt;0,'Offline Table'!M12,"")</f>
        <v>3181349811.9000001</v>
      </c>
      <c r="N15" s="13">
        <f>IF('Offline Table'!N12&gt;0,'Offline Table'!N12,"")</f>
        <v>2524793807.5289383</v>
      </c>
      <c r="O15" s="13" t="str">
        <f>IF('Offline Table'!O12&gt;0,'Offline Table'!O12,"")</f>
        <v/>
      </c>
      <c r="P15" s="13">
        <f>IF('Offline Table'!P12&gt;0,'Offline Table'!P12,"")</f>
        <v>1679180424.7591841</v>
      </c>
      <c r="Q15" s="13">
        <f>IF('Offline Table'!Q12&gt;0,'Offline Table'!Q12,"")</f>
        <v>17179288984.26</v>
      </c>
      <c r="R15" s="13">
        <f>IF('Offline Table'!R12&gt;0,'Offline Table'!R12,"")</f>
        <v>2863214830.71</v>
      </c>
      <c r="S15" s="13">
        <f>IF('Offline Table'!S12&gt;0,'Offline Table'!S12,"")</f>
        <v>5000000000</v>
      </c>
      <c r="T15" s="13">
        <f>IF('Offline Table'!T12&gt;0,'Offline Table'!T12,"")</f>
        <v>3435857796.8520002</v>
      </c>
      <c r="U15" s="13">
        <f>IF('Offline Table'!U12&gt;0,'Offline Table'!U12,"")</f>
        <v>13743431.187408</v>
      </c>
      <c r="V15" s="13">
        <f>IF('Offline Table'!V12&gt;0,'Offline Table'!V12,"")</f>
        <v>2290571.8645680002</v>
      </c>
      <c r="W15" s="13">
        <f>IF('Offline Table'!W12&gt;0,'Offline Table'!W12,"")</f>
        <v>48968238.288518809</v>
      </c>
      <c r="X15" s="13">
        <f>IF('Offline Table'!X12&gt;0,'Offline Table'!X12,"")</f>
        <v>2748686.2374816001</v>
      </c>
      <c r="Y15" s="9" t="str">
        <f>IFERROR(IF('Offline Table'!Y12&gt;0,'Offline Table'!Y12,""),"")</f>
        <v/>
      </c>
      <c r="Z15" s="13">
        <f>IF('Offline Table'!Z12&gt;0,'Offline Table'!Z12,"")</f>
        <v>67750927.577976406</v>
      </c>
      <c r="AA15" s="13">
        <f>IF('Offline Table'!AA12&gt;0,'Offline Table'!AA12,"")</f>
        <v>1</v>
      </c>
      <c r="AB15" s="14">
        <f>IF('Offline Table'!AB12&gt;0,'Offline Table'!AB12,"")</f>
        <v>385885908.7679764</v>
      </c>
    </row>
    <row r="16" spans="1:29" x14ac:dyDescent="0.45">
      <c r="A16" s="11">
        <f>'Offline Table'!A13</f>
        <v>11</v>
      </c>
      <c r="B16" s="12">
        <f>'Offline Table'!B13</f>
        <v>11</v>
      </c>
      <c r="C16" s="12">
        <f>'Offline Table'!C13</f>
        <v>50</v>
      </c>
      <c r="D16" s="13">
        <f>IF('Offline Table'!D13&gt;0,'Offline Table'!D13,"")</f>
        <v>413575475.54699999</v>
      </c>
      <c r="E16" s="13">
        <f>IF('Offline Table'!E13&gt;0,'Offline Table'!E13,"")</f>
        <v>1692160393</v>
      </c>
      <c r="F16" s="13">
        <f>IF('Offline Table'!F13&gt;0,'Offline Table'!F13,"")</f>
        <v>7444358559</v>
      </c>
      <c r="G16" s="13" t="str">
        <f>IF('Offline Table'!G13&gt;0,'Offline Table'!G13,"")</f>
        <v/>
      </c>
      <c r="H16" s="13" t="str">
        <f>IF('Offline Table'!H13&gt;0,'Offline Table'!H13,"")</f>
        <v/>
      </c>
      <c r="I16" s="13">
        <f>IF('Offline Table'!I13&gt;0,'Offline Table'!I13,"")</f>
        <v>14475141.644145001</v>
      </c>
      <c r="J16" s="13">
        <f>IF('Offline Table'!J13&gt;0,'Offline Table'!J13,"")</f>
        <v>26890720.452028792</v>
      </c>
      <c r="K16" s="13">
        <f>IF('Offline Table'!K13&gt;0,'Offline Table'!K13,"")</f>
        <v>372209613.45082617</v>
      </c>
      <c r="L16" s="13">
        <f>IF('Offline Table'!L13&gt;0,'Offline Table'!L13,"")</f>
        <v>2256529042.0310116</v>
      </c>
      <c r="M16" s="13">
        <f>IF('Offline Table'!M13&gt;0,'Offline Table'!M13,"")</f>
        <v>4549330231.0170002</v>
      </c>
      <c r="N16" s="13">
        <f>IF('Offline Table'!N13&gt;0,'Offline Table'!N13,"")</f>
        <v>3497564988.615591</v>
      </c>
      <c r="O16" s="13" t="str">
        <f>IF('Offline Table'!O13&gt;0,'Offline Table'!O13,"")</f>
        <v/>
      </c>
      <c r="P16" s="13">
        <f>IF('Offline Table'!P13&gt;0,'Offline Table'!P13,"")</f>
        <v>2256529042.0310116</v>
      </c>
      <c r="Q16" s="13">
        <f>IF('Offline Table'!Q13&gt;0,'Offline Table'!Q13,"")</f>
        <v>22333075679.537998</v>
      </c>
      <c r="R16" s="13">
        <f>IF('Offline Table'!R13&gt;0,'Offline Table'!R13,"")</f>
        <v>3722179279.9229999</v>
      </c>
      <c r="S16" s="13">
        <f>IF('Offline Table'!S13&gt;0,'Offline Table'!S13,"")</f>
        <v>5000000000</v>
      </c>
      <c r="T16" s="13">
        <f>IF('Offline Table'!T13&gt;0,'Offline Table'!T13,"")</f>
        <v>4466615135.9075994</v>
      </c>
      <c r="U16" s="13">
        <f>IF('Offline Table'!U13&gt;0,'Offline Table'!U13,"")</f>
        <v>17866460.543630399</v>
      </c>
      <c r="V16" s="13">
        <f>IF('Offline Table'!V13&gt;0,'Offline Table'!V13,"")</f>
        <v>2977743.4239384001</v>
      </c>
      <c r="W16" s="13">
        <f>IF('Offline Table'!W13&gt;0,'Offline Table'!W13,"")</f>
        <v>52144478.482764281</v>
      </c>
      <c r="X16" s="13">
        <f>IF('Offline Table'!X13&gt;0,'Offline Table'!X13,"")</f>
        <v>3573292.1087260796</v>
      </c>
      <c r="Y16" s="9" t="str">
        <f>IFERROR(IF('Offline Table'!Y13&gt;0,'Offline Table'!Y13,""),"")</f>
        <v/>
      </c>
      <c r="Z16" s="13">
        <f>IF('Offline Table'!Z13&gt;0,'Offline Table'!Z13,"")</f>
        <v>76561974.559059173</v>
      </c>
      <c r="AA16" s="13">
        <f>IF('Offline Table'!AA13&gt;0,'Offline Table'!AA13,"")</f>
        <v>1</v>
      </c>
      <c r="AB16" s="14">
        <f>IF('Offline Table'!AB13&gt;0,'Offline Table'!AB13,"")</f>
        <v>490137450.10605919</v>
      </c>
    </row>
    <row r="17" spans="1:28" x14ac:dyDescent="0.45">
      <c r="A17" s="11">
        <f>'Offline Table'!A14</f>
        <v>12</v>
      </c>
      <c r="B17" s="12">
        <f>'Offline Table'!B14</f>
        <v>12</v>
      </c>
      <c r="C17" s="12">
        <f>'Offline Table'!C14</f>
        <v>51</v>
      </c>
      <c r="D17" s="13">
        <f>IF('Offline Table'!D14&gt;0,'Offline Table'!D14,"")</f>
        <v>537648118.21109998</v>
      </c>
      <c r="E17" s="13">
        <f>IF('Offline Table'!E14&gt;0,'Offline Table'!E14,"")</f>
        <v>2229808511</v>
      </c>
      <c r="F17" s="13">
        <f>IF('Offline Table'!F14&gt;0,'Offline Table'!F14,"")</f>
        <v>9677666127</v>
      </c>
      <c r="G17" s="13" t="str">
        <f>IF('Offline Table'!G14&gt;0,'Offline Table'!G14,"")</f>
        <v/>
      </c>
      <c r="H17" s="13" t="str">
        <f>IF('Offline Table'!H14&gt;0,'Offline Table'!H14,"")</f>
        <v/>
      </c>
      <c r="I17" s="13">
        <f>IF('Offline Table'!I14&gt;0,'Offline Table'!I14,"")</f>
        <v>18817684.137388501</v>
      </c>
      <c r="J17" s="13">
        <f>IF('Offline Table'!J14&gt;0,'Offline Table'!J14,"")</f>
        <v>38408928.468274936</v>
      </c>
      <c r="K17" s="13">
        <f>IF('Offline Table'!K14&gt;0,'Offline Table'!K14,"")</f>
        <v>480421505.60543656</v>
      </c>
      <c r="L17" s="13">
        <f>IF('Offline Table'!L14&gt;0,'Offline Table'!L14,"")</f>
        <v>3010645602.4000931</v>
      </c>
      <c r="M17" s="13">
        <f>IF('Offline Table'!M14&gt;0,'Offline Table'!M14,"")</f>
        <v>6451777418.5331993</v>
      </c>
      <c r="N17" s="13">
        <f>IF('Offline Table'!N14&gt;0,'Offline Table'!N14,"")</f>
        <v>4802640613.6129751</v>
      </c>
      <c r="O17" s="13" t="str">
        <f>IF('Offline Table'!O14&gt;0,'Offline Table'!O14,"")</f>
        <v/>
      </c>
      <c r="P17" s="13">
        <f>IF('Offline Table'!P14&gt;0,'Offline Table'!P14,"")</f>
        <v>3010645602.4000931</v>
      </c>
      <c r="Q17" s="13">
        <f>IF('Offline Table'!Q14&gt;0,'Offline Table'!Q14,"")</f>
        <v>29032998383.399399</v>
      </c>
      <c r="R17" s="13">
        <f>IF('Offline Table'!R14&gt;0,'Offline Table'!R14,"")</f>
        <v>4838833063.8998995</v>
      </c>
      <c r="S17" s="13">
        <f>IF('Offline Table'!S14&gt;0,'Offline Table'!S14,"")</f>
        <v>5000000000</v>
      </c>
      <c r="T17" s="13">
        <f>IF('Offline Table'!T14&gt;0,'Offline Table'!T14,"")</f>
        <v>5806599676.6798801</v>
      </c>
      <c r="U17" s="13">
        <f>IF('Offline Table'!U14&gt;0,'Offline Table'!U14,"")</f>
        <v>23226398.706719521</v>
      </c>
      <c r="V17" s="13">
        <f>IF('Offline Table'!V14&gt;0,'Offline Table'!V14,"")</f>
        <v>3871066.4511199198</v>
      </c>
      <c r="W17" s="13">
        <f>IF('Offline Table'!W14&gt;0,'Offline Table'!W14,"")</f>
        <v>55841864.924939774</v>
      </c>
      <c r="X17" s="13">
        <f>IF('Offline Table'!X14&gt;0,'Offline Table'!X14,"")</f>
        <v>4645279.7413439043</v>
      </c>
      <c r="Y17" s="9" t="str">
        <f>IFERROR(IF('Offline Table'!Y14&gt;0,'Offline Table'!Y14,""),"")</f>
        <v/>
      </c>
      <c r="Z17" s="13">
        <f>IF('Offline Table'!Z14&gt;0,'Offline Table'!Z14,"")</f>
        <v>87584609.824123114</v>
      </c>
      <c r="AA17" s="13">
        <f>IF('Offline Table'!AA14&gt;0,'Offline Table'!AA14,"")</f>
        <v>1</v>
      </c>
      <c r="AB17" s="14">
        <f>IF('Offline Table'!AB14&gt;0,'Offline Table'!AB14,"")</f>
        <v>625232728.03522313</v>
      </c>
    </row>
    <row r="18" spans="1:28" x14ac:dyDescent="0.45">
      <c r="A18" s="11">
        <f>'Offline Table'!A15</f>
        <v>13</v>
      </c>
      <c r="B18" s="12">
        <f>'Offline Table'!B15</f>
        <v>13</v>
      </c>
      <c r="C18" s="12">
        <f>'Offline Table'!C15</f>
        <v>52</v>
      </c>
      <c r="D18" s="13">
        <f>IF('Offline Table'!D15&gt;0,'Offline Table'!D15,"")</f>
        <v>698942553.67443001</v>
      </c>
      <c r="E18" s="13">
        <f>IF('Offline Table'!E15&gt;0,'Offline Table'!E15,"")</f>
        <v>2928751064</v>
      </c>
      <c r="F18" s="13">
        <f>IF('Offline Table'!F15&gt;0,'Offline Table'!F15,"")</f>
        <v>12580965965</v>
      </c>
      <c r="G18" s="13" t="str">
        <f>IF('Offline Table'!G15&gt;0,'Offline Table'!G15,"")</f>
        <v/>
      </c>
      <c r="H18" s="13" t="str">
        <f>IF('Offline Table'!H15&gt;0,'Offline Table'!H15,"")</f>
        <v/>
      </c>
      <c r="I18" s="13">
        <f>IF('Offline Table'!I15&gt;0,'Offline Table'!I15,"")</f>
        <v>24462989.378605053</v>
      </c>
      <c r="J18" s="13">
        <f>IF('Offline Table'!J15&gt;0,'Offline Table'!J15,"")</f>
        <v>54340553.88568262</v>
      </c>
      <c r="K18" s="13">
        <f>IF('Offline Table'!K15&gt;0,'Offline Table'!K15,"")</f>
        <v>620139010.4101423</v>
      </c>
      <c r="L18" s="13">
        <f>IF('Offline Table'!L15&gt;0,'Offline Table'!L15,"")</f>
        <v>3993863074.0912595</v>
      </c>
      <c r="M18" s="13">
        <f>IF('Offline Table'!M15&gt;0,'Offline Table'!M15,"")</f>
        <v>9086253197.7675896</v>
      </c>
      <c r="N18" s="13">
        <f>IF('Offline Table'!N15&gt;0,'Offline Table'!N15,"")</f>
        <v>6546945722.1237278</v>
      </c>
      <c r="O18" s="13" t="str">
        <f>IF('Offline Table'!O15&gt;0,'Offline Table'!O15,"")</f>
        <v/>
      </c>
      <c r="P18" s="13">
        <f>IF('Offline Table'!P15&gt;0,'Offline Table'!P15,"")</f>
        <v>3993863074.0912595</v>
      </c>
      <c r="Q18" s="13">
        <f>IF('Offline Table'!Q15&gt;0,'Offline Table'!Q15,"")</f>
        <v>37742897898.41922</v>
      </c>
      <c r="R18" s="13">
        <f>IF('Offline Table'!R15&gt;0,'Offline Table'!R15,"")</f>
        <v>6290482983.06987</v>
      </c>
      <c r="S18" s="13">
        <f>IF('Offline Table'!S15&gt;0,'Offline Table'!S15,"")</f>
        <v>5000000000</v>
      </c>
      <c r="T18" s="13">
        <f>IF('Offline Table'!T15&gt;0,'Offline Table'!T15,"")</f>
        <v>7548579579.6838446</v>
      </c>
      <c r="U18" s="13">
        <f>IF('Offline Table'!U15&gt;0,'Offline Table'!U15,"")</f>
        <v>30194318.318735376</v>
      </c>
      <c r="V18" s="13">
        <f>IF('Offline Table'!V15&gt;0,'Offline Table'!V15,"")</f>
        <v>5032386.3864558963</v>
      </c>
      <c r="W18" s="13">
        <f>IF('Offline Table'!W15&gt;0,'Offline Table'!W15,"")</f>
        <v>59714408.849866845</v>
      </c>
      <c r="X18" s="13">
        <f>IF('Offline Table'!X15&gt;0,'Offline Table'!X15,"")</f>
        <v>6038863.6637470759</v>
      </c>
      <c r="Y18" s="9" t="str">
        <f>IFERROR(IF('Offline Table'!Y15&gt;0,'Offline Table'!Y15,""),"")</f>
        <v/>
      </c>
      <c r="Z18" s="13">
        <f>IF('Offline Table'!Z15&gt;0,'Offline Table'!Z15,"")</f>
        <v>100979977.21880519</v>
      </c>
      <c r="AA18" s="13">
        <f>IF('Offline Table'!AA15&gt;0,'Offline Table'!AA15,"")</f>
        <v>1</v>
      </c>
      <c r="AB18" s="14">
        <f>IF('Offline Table'!AB15&gt;0,'Offline Table'!AB15,"")</f>
        <v>799922530.89323521</v>
      </c>
    </row>
    <row r="19" spans="1:28" x14ac:dyDescent="0.45">
      <c r="A19" s="11">
        <f>'Offline Table'!A16</f>
        <v>14</v>
      </c>
      <c r="B19" s="12">
        <f>'Offline Table'!B16</f>
        <v>14</v>
      </c>
      <c r="C19" s="12">
        <f>'Offline Table'!C16</f>
        <v>53</v>
      </c>
      <c r="D19" s="13">
        <f>IF('Offline Table'!D16&gt;0,'Offline Table'!D16,"")</f>
        <v>908625319.77675903</v>
      </c>
      <c r="E19" s="13">
        <f>IF('Offline Table'!E16&gt;0,'Offline Table'!E16,"")</f>
        <v>3837376383</v>
      </c>
      <c r="F19" s="13">
        <f>IF('Offline Table'!F16&gt;0,'Offline Table'!F16,"")</f>
        <v>16355255755</v>
      </c>
      <c r="G19" s="13" t="str">
        <f>IF('Offline Table'!G16&gt;0,'Offline Table'!G16,"")</f>
        <v/>
      </c>
      <c r="H19" s="13" t="str">
        <f>IF('Offline Table'!H16&gt;0,'Offline Table'!H16,"")</f>
        <v/>
      </c>
      <c r="I19" s="13">
        <f>IF('Offline Table'!I16&gt;0,'Offline Table'!I16,"")</f>
        <v>31801886.192186568</v>
      </c>
      <c r="J19" s="13">
        <f>IF('Offline Table'!J16&gt;0,'Offline Table'!J16,"")</f>
        <v>77649226.693829209</v>
      </c>
      <c r="K19" s="13">
        <f>IF('Offline Table'!K16&gt;0,'Offline Table'!K16,"")</f>
        <v>799174206.89074326</v>
      </c>
      <c r="L19" s="13">
        <f>IF('Offline Table'!L16&gt;0,'Offline Table'!L16,"")</f>
        <v>5272341009.0802031</v>
      </c>
      <c r="M19" s="13">
        <f>IF('Offline Table'!M16&gt;0,'Offline Table'!M16,"")</f>
        <v>12720754476.874626</v>
      </c>
      <c r="N19" s="13">
        <f>IF('Offline Table'!N16&gt;0,'Offline Table'!N16,"")</f>
        <v>8869002942.7727547</v>
      </c>
      <c r="O19" s="13" t="str">
        <f>IF('Offline Table'!O16&gt;0,'Offline Table'!O16,"")</f>
        <v/>
      </c>
      <c r="P19" s="13">
        <f>IF('Offline Table'!P16&gt;0,'Offline Table'!P16,"")</f>
        <v>5272341009.0802031</v>
      </c>
      <c r="Q19" s="13">
        <f>IF('Offline Table'!Q16&gt;0,'Offline Table'!Q16,"")</f>
        <v>49065767267.944984</v>
      </c>
      <c r="R19" s="13">
        <f>IF('Offline Table'!R16&gt;0,'Offline Table'!R16,"")</f>
        <v>8177627877.9908314</v>
      </c>
      <c r="S19" s="13">
        <f>IF('Offline Table'!S16&gt;0,'Offline Table'!S16,"")</f>
        <v>5000000000</v>
      </c>
      <c r="T19" s="13">
        <f>IF('Offline Table'!T16&gt;0,'Offline Table'!T16,"")</f>
        <v>9813153453.5889969</v>
      </c>
      <c r="U19" s="13">
        <f>IF('Offline Table'!U16&gt;0,'Offline Table'!U16,"")</f>
        <v>39252613.814355992</v>
      </c>
      <c r="V19" s="13">
        <f>IF('Offline Table'!V16&gt;0,'Offline Table'!V16,"")</f>
        <v>6542102.3023926653</v>
      </c>
      <c r="W19" s="13">
        <f>IF('Offline Table'!W16&gt;0,'Offline Table'!W16,"")</f>
        <v>63816933.440903269</v>
      </c>
      <c r="X19" s="13">
        <f>IF('Offline Table'!X16&gt;0,'Offline Table'!X16,"")</f>
        <v>7850522.7628711974</v>
      </c>
      <c r="Y19" s="9" t="str">
        <f>IFERROR(IF('Offline Table'!Y16&gt;0,'Offline Table'!Y16,""),"")</f>
        <v/>
      </c>
      <c r="Z19" s="13">
        <f>IF('Offline Table'!Z16&gt;0,'Offline Table'!Z16,"")</f>
        <v>117462172.32052313</v>
      </c>
      <c r="AA19" s="13">
        <f>IF('Offline Table'!AA16&gt;0,'Offline Table'!AA16,"")</f>
        <v>1</v>
      </c>
      <c r="AB19" s="14">
        <f>IF('Offline Table'!AB16&gt;0,'Offline Table'!AB16,"")</f>
        <v>1026087492.0972822</v>
      </c>
    </row>
    <row r="20" spans="1:28" x14ac:dyDescent="0.45">
      <c r="A20" s="11">
        <f>'Offline Table'!A17</f>
        <v>15</v>
      </c>
      <c r="B20" s="12">
        <f>'Offline Table'!B17</f>
        <v>15</v>
      </c>
      <c r="C20" s="12">
        <f>'Offline Table'!C17</f>
        <v>54</v>
      </c>
      <c r="D20" s="13">
        <f>IF('Offline Table'!D17&gt;0,'Offline Table'!D17,"")</f>
        <v>1181212915.7097869</v>
      </c>
      <c r="E20" s="13">
        <f>IF('Offline Table'!E17&gt;0,'Offline Table'!E17,"")</f>
        <v>5018589298</v>
      </c>
      <c r="F20" s="13">
        <f>IF('Offline Table'!F17&gt;0,'Offline Table'!F17,"")</f>
        <v>21261832482</v>
      </c>
      <c r="G20" s="13" t="str">
        <f>IF('Offline Table'!G17&gt;0,'Offline Table'!G17,"")</f>
        <v/>
      </c>
      <c r="H20" s="13" t="str">
        <f>IF('Offline Table'!H17&gt;0,'Offline Table'!H17,"")</f>
        <v/>
      </c>
      <c r="I20" s="13">
        <f>IF('Offline Table'!I17&gt;0,'Offline Table'!I17,"")</f>
        <v>41342452.049842544</v>
      </c>
      <c r="J20" s="13">
        <f>IF('Offline Table'!J17&gt;0,'Offline Table'!J17,"")</f>
        <v>111302930.11252166</v>
      </c>
      <c r="K20" s="13">
        <f>IF('Offline Table'!K17&gt;0,'Offline Table'!K17,"")</f>
        <v>1028567533.5474226</v>
      </c>
      <c r="L20" s="13">
        <f>IF('Offline Table'!L17&gt;0,'Offline Table'!L17,"")</f>
        <v>6930999396.8903885</v>
      </c>
      <c r="M20" s="13">
        <f>IF('Offline Table'!M17&gt;0,'Offline Table'!M17,"")</f>
        <v>17718193735.646805</v>
      </c>
      <c r="N20" s="13">
        <f>IF('Offline Table'!N17&gt;0,'Offline Table'!N17,"")</f>
        <v>11949380425.179205</v>
      </c>
      <c r="O20" s="13" t="str">
        <f>IF('Offline Table'!O17&gt;0,'Offline Table'!O17,"")</f>
        <v/>
      </c>
      <c r="P20" s="13">
        <f>IF('Offline Table'!P17&gt;0,'Offline Table'!P17,"")</f>
        <v>6930999396.8903885</v>
      </c>
      <c r="Q20" s="13">
        <f>IF('Offline Table'!Q17&gt;0,'Offline Table'!Q17,"")</f>
        <v>63785497448.328491</v>
      </c>
      <c r="R20" s="13">
        <f>IF('Offline Table'!R17&gt;0,'Offline Table'!R17,"")</f>
        <v>10630916241.388083</v>
      </c>
      <c r="S20" s="13">
        <f>IF('Offline Table'!S17&gt;0,'Offline Table'!S17,"")</f>
        <v>5000000000</v>
      </c>
      <c r="T20" s="13">
        <f>IF('Offline Table'!T17&gt;0,'Offline Table'!T17,"")</f>
        <v>12757099489.665699</v>
      </c>
      <c r="U20" s="13">
        <f>IF('Offline Table'!U17&gt;0,'Offline Table'!U17,"")</f>
        <v>51028397.958662793</v>
      </c>
      <c r="V20" s="13">
        <f>IF('Offline Table'!V17&gt;0,'Offline Table'!V17,"")</f>
        <v>8504732.9931104667</v>
      </c>
      <c r="W20" s="13">
        <f>IF('Offline Table'!W17&gt;0,'Offline Table'!W17,"")</f>
        <v>68190011.135642186</v>
      </c>
      <c r="X20" s="13">
        <f>IF('Offline Table'!X17&gt;0,'Offline Table'!X17,"")</f>
        <v>10205679.59173256</v>
      </c>
      <c r="Y20" s="9" t="str">
        <f>IFERROR(IF('Offline Table'!Y17&gt;0,'Offline Table'!Y17,""),"")</f>
        <v/>
      </c>
      <c r="Z20" s="13">
        <f>IF('Offline Table'!Z17&gt;0,'Offline Table'!Z17,"")</f>
        <v>137928821.67914799</v>
      </c>
      <c r="AA20" s="13">
        <f>IF('Offline Table'!AA17&gt;0,'Offline Table'!AA17,"")</f>
        <v>1</v>
      </c>
      <c r="AB20" s="14">
        <f>IF('Offline Table'!AB17&gt;0,'Offline Table'!AB17,"")</f>
        <v>1319141737.3889349</v>
      </c>
    </row>
    <row r="21" spans="1:28" x14ac:dyDescent="0.45">
      <c r="A21" s="11">
        <f>'Offline Table'!A18</f>
        <v>16</v>
      </c>
      <c r="B21" s="12">
        <f>'Offline Table'!B18</f>
        <v>16</v>
      </c>
      <c r="C21" s="12">
        <f>'Offline Table'!C18</f>
        <v>55</v>
      </c>
      <c r="D21" s="13">
        <f>IF('Offline Table'!D18&gt;0,'Offline Table'!D18,"")</f>
        <v>1535576790.4227231</v>
      </c>
      <c r="E21" s="13">
        <f>IF('Offline Table'!E18&gt;0,'Offline Table'!E18,"")</f>
        <v>6554166088</v>
      </c>
      <c r="F21" s="13">
        <f>IF('Offline Table'!F18&gt;0,'Offline Table'!F18,"")</f>
        <v>27640382227</v>
      </c>
      <c r="G21" s="13" t="str">
        <f>IF('Offline Table'!G18&gt;0,'Offline Table'!G18,"")</f>
        <v/>
      </c>
      <c r="H21" s="13" t="str">
        <f>IF('Offline Table'!H18&gt;0,'Offline Table'!H18,"")</f>
        <v/>
      </c>
      <c r="I21" s="13">
        <f>IF('Offline Table'!I18&gt;0,'Offline Table'!I18,"")</f>
        <v>53745187.664795309</v>
      </c>
      <c r="J21" s="13">
        <f>IF('Offline Table'!J18&gt;0,'Offline Table'!J18,"")</f>
        <v>158665994.55700213</v>
      </c>
      <c r="K21" s="13">
        <f>IF('Offline Table'!K18&gt;0,'Offline Table'!K18,"")</f>
        <v>1323165608.2009256</v>
      </c>
      <c r="L21" s="13">
        <f>IF('Offline Table'!L18&gt;0,'Offline Table'!L18,"")</f>
        <v>9079581505.6004467</v>
      </c>
      <c r="M21" s="13">
        <f>IF('Offline Table'!M18&gt;0,'Offline Table'!M18,"")</f>
        <v>24569228646.763569</v>
      </c>
      <c r="N21" s="13">
        <f>IF('Offline Table'!N18&gt;0,'Offline Table'!N18,"")</f>
        <v>16024003278.684198</v>
      </c>
      <c r="O21" s="13" t="str">
        <f>IF('Offline Table'!O18&gt;0,'Offline Table'!O18,"")</f>
        <v/>
      </c>
      <c r="P21" s="13">
        <f>IF('Offline Table'!P18&gt;0,'Offline Table'!P18,"")</f>
        <v>9079581505.6004467</v>
      </c>
      <c r="Q21" s="13">
        <f>IF('Offline Table'!Q18&gt;0,'Offline Table'!Q18,"")</f>
        <v>82921146682.827042</v>
      </c>
      <c r="R21" s="13">
        <f>IF('Offline Table'!R18&gt;0,'Offline Table'!R18,"")</f>
        <v>13820191113.804508</v>
      </c>
      <c r="S21" s="13">
        <f>IF('Offline Table'!S18&gt;0,'Offline Table'!S18,"")</f>
        <v>5000000000</v>
      </c>
      <c r="T21" s="13">
        <f>IF('Offline Table'!T18&gt;0,'Offline Table'!T18,"")</f>
        <v>16584229336.565409</v>
      </c>
      <c r="U21" s="13">
        <f>IF('Offline Table'!U18&gt;0,'Offline Table'!U18,"")</f>
        <v>66336917.346261635</v>
      </c>
      <c r="V21" s="13">
        <f>IF('Offline Table'!V18&gt;0,'Offline Table'!V18,"")</f>
        <v>11056152.891043607</v>
      </c>
      <c r="W21" s="13">
        <f>IF('Offline Table'!W18&gt;0,'Offline Table'!W18,"")</f>
        <v>72969650.960603103</v>
      </c>
      <c r="X21" s="13">
        <f>IF('Offline Table'!X18&gt;0,'Offline Table'!X18,"")</f>
        <v>13267383.469252327</v>
      </c>
      <c r="Y21" s="9" t="str">
        <f>IFERROR(IF('Offline Table'!Y18&gt;0,'Offline Table'!Y18,""),"")</f>
        <v/>
      </c>
      <c r="Z21" s="13">
        <f>IF('Offline Table'!Z18&gt;0,'Offline Table'!Z18,"")</f>
        <v>163630104.66716066</v>
      </c>
      <c r="AA21" s="13">
        <f>IF('Offline Table'!AA18&gt;0,'Offline Table'!AA18,"")</f>
        <v>1</v>
      </c>
      <c r="AB21" s="14">
        <f>IF('Offline Table'!AB18&gt;0,'Offline Table'!AB18,"")</f>
        <v>1699206895.0898838</v>
      </c>
    </row>
    <row r="22" spans="1:28" x14ac:dyDescent="0.45">
      <c r="A22" s="11">
        <f>'Offline Table'!A19</f>
        <v>17</v>
      </c>
      <c r="B22" s="12">
        <f>'Offline Table'!B19</f>
        <v>17</v>
      </c>
      <c r="C22" s="12">
        <f>'Offline Table'!C19</f>
        <v>56</v>
      </c>
      <c r="D22" s="13">
        <f>IF('Offline Table'!D19&gt;0,'Offline Table'!D19,"")</f>
        <v>1996249827.54954</v>
      </c>
      <c r="E22" s="13">
        <f>IF('Offline Table'!E19&gt;0,'Offline Table'!E19,"")</f>
        <v>8550415915</v>
      </c>
      <c r="F22" s="13">
        <f>IF('Offline Table'!F19&gt;0,'Offline Table'!F19,"")</f>
        <v>35932496895</v>
      </c>
      <c r="G22" s="13" t="str">
        <f>IF('Offline Table'!G19&gt;0,'Offline Table'!G19,"")</f>
        <v/>
      </c>
      <c r="H22" s="13" t="str">
        <f>IF('Offline Table'!H19&gt;0,'Offline Table'!H19,"")</f>
        <v/>
      </c>
      <c r="I22" s="13">
        <f>IF('Offline Table'!I19&gt;0,'Offline Table'!I19,"")</f>
        <v>69868743.964233905</v>
      </c>
      <c r="J22" s="13">
        <f>IF('Offline Table'!J19&gt;0,'Offline Table'!J19,"")</f>
        <v>227041481.35228541</v>
      </c>
      <c r="K22" s="13">
        <f>IF('Offline Table'!K19&gt;0,'Offline Table'!K19,"")</f>
        <v>1699339602.2330208</v>
      </c>
      <c r="L22" s="13">
        <f>IF('Offline Table'!L19&gt;0,'Offline Table'!L19,"")</f>
        <v>11856813218.616816</v>
      </c>
      <c r="M22" s="13">
        <f>IF('Offline Table'!M19&gt;0,'Offline Table'!M19,"")</f>
        <v>33936247068.342182</v>
      </c>
      <c r="N22" s="13">
        <f>IF('Offline Table'!N19&gt;0,'Offline Table'!N19,"")</f>
        <v>21397469914.122837</v>
      </c>
      <c r="O22" s="13" t="str">
        <f>IF('Offline Table'!O19&gt;0,'Offline Table'!O19,"")</f>
        <v/>
      </c>
      <c r="P22" s="13">
        <f>IF('Offline Table'!P19&gt;0,'Offline Table'!P19,"")</f>
        <v>11856813218.616816</v>
      </c>
      <c r="Q22" s="13">
        <f>IF('Offline Table'!Q19&gt;0,'Offline Table'!Q19,"")</f>
        <v>107797490687.67516</v>
      </c>
      <c r="R22" s="13">
        <f>IF('Offline Table'!R19&gt;0,'Offline Table'!R19,"")</f>
        <v>17966248447.945862</v>
      </c>
      <c r="S22" s="13">
        <f>IF('Offline Table'!S19&gt;0,'Offline Table'!S19,"")</f>
        <v>5000000000</v>
      </c>
      <c r="T22" s="13">
        <f>IF('Offline Table'!T19&gt;0,'Offline Table'!T19,"")</f>
        <v>21559498137.535034</v>
      </c>
      <c r="U22" s="13">
        <f>IF('Offline Table'!U19&gt;0,'Offline Table'!U19,"")</f>
        <v>86237992.550140128</v>
      </c>
      <c r="V22" s="13">
        <f>IF('Offline Table'!V19&gt;0,'Offline Table'!V19,"")</f>
        <v>14372998.75835669</v>
      </c>
      <c r="W22" s="13">
        <f>IF('Offline Table'!W19&gt;0,'Offline Table'!W19,"")</f>
        <v>77817793.642562777</v>
      </c>
      <c r="X22" s="13">
        <f>IF('Offline Table'!X19&gt;0,'Offline Table'!X19,"")</f>
        <v>17247598.510028027</v>
      </c>
      <c r="Y22" s="9" t="str">
        <f>IFERROR(IF('Offline Table'!Y19&gt;0,'Offline Table'!Y19,""),"")</f>
        <v/>
      </c>
      <c r="Z22" s="13">
        <f>IF('Offline Table'!Z19&gt;0,'Offline Table'!Z19,"")</f>
        <v>195676383.46108761</v>
      </c>
      <c r="AA22" s="13">
        <f>IF('Offline Table'!AA19&gt;0,'Offline Table'!AA19,"")</f>
        <v>1</v>
      </c>
      <c r="AB22" s="14">
        <f>IF('Offline Table'!AB19&gt;0,'Offline Table'!AB19,"")</f>
        <v>2191926211.0106277</v>
      </c>
    </row>
    <row r="23" spans="1:28" x14ac:dyDescent="0.45">
      <c r="A23" s="11">
        <f>'Offline Table'!A20</f>
        <v>18</v>
      </c>
      <c r="B23" s="12">
        <f>'Offline Table'!B20</f>
        <v>18</v>
      </c>
      <c r="C23" s="12">
        <f>'Offline Table'!C20</f>
        <v>57</v>
      </c>
      <c r="D23" s="13">
        <f>IF('Offline Table'!D20&gt;0,'Offline Table'!D20,"")</f>
        <v>2595124775.8144021</v>
      </c>
      <c r="E23" s="13">
        <f>IF('Offline Table'!E20&gt;0,'Offline Table'!E20,"")</f>
        <v>11145540690</v>
      </c>
      <c r="F23" s="13">
        <f>IF('Offline Table'!F20&gt;0,'Offline Table'!F20,"")</f>
        <v>46712245964</v>
      </c>
      <c r="G23" s="13" t="str">
        <f>IF('Offline Table'!G20&gt;0,'Offline Table'!G20,"")</f>
        <v/>
      </c>
      <c r="H23" s="13" t="str">
        <f>IF('Offline Table'!H20&gt;0,'Offline Table'!H20,"")</f>
        <v/>
      </c>
      <c r="I23" s="13">
        <f>IF('Offline Table'!I20&gt;0,'Offline Table'!I20,"")</f>
        <v>90829367.153504089</v>
      </c>
      <c r="J23" s="13">
        <f>IF('Offline Table'!J20&gt;0,'Offline Table'!J20,"")</f>
        <v>326183875.80255693</v>
      </c>
      <c r="K23" s="13">
        <f>IF('Offline Table'!K20&gt;0,'Offline Table'!K20,"")</f>
        <v>2178111532.8583412</v>
      </c>
      <c r="L23" s="13">
        <f>IF('Offline Table'!L20&gt;0,'Offline Table'!L20,"")</f>
        <v>15438417226.622673</v>
      </c>
      <c r="M23" s="13">
        <f>IF('Offline Table'!M20&gt;0,'Offline Table'!M20,"")</f>
        <v>46712245964.659241</v>
      </c>
      <c r="N23" s="13">
        <f>IF('Offline Table'!N20&gt;0,'Offline Table'!N20,"")</f>
        <v>28462903308.319096</v>
      </c>
      <c r="O23" s="13" t="str">
        <f>IF('Offline Table'!O20&gt;0,'Offline Table'!O20,"")</f>
        <v/>
      </c>
      <c r="P23" s="13">
        <f>IF('Offline Table'!P20&gt;0,'Offline Table'!P20,"")</f>
        <v>15438417226.622673</v>
      </c>
      <c r="Q23" s="13">
        <f>IF('Offline Table'!Q20&gt;0,'Offline Table'!Q20,"")</f>
        <v>140136737893.97772</v>
      </c>
      <c r="R23" s="13">
        <f>IF('Offline Table'!R20&gt;0,'Offline Table'!R20,"")</f>
        <v>23356122982.32962</v>
      </c>
      <c r="S23" s="13">
        <f>IF('Offline Table'!S20&gt;0,'Offline Table'!S20,"")</f>
        <v>5000000000</v>
      </c>
      <c r="T23" s="13">
        <f>IF('Offline Table'!T20&gt;0,'Offline Table'!T20,"")</f>
        <v>28027347578.795547</v>
      </c>
      <c r="U23" s="13">
        <f>IF('Offline Table'!U20&gt;0,'Offline Table'!U20,"")</f>
        <v>112109390.31518218</v>
      </c>
      <c r="V23" s="13">
        <f>IF('Offline Table'!V20&gt;0,'Offline Table'!V20,"")</f>
        <v>18684898.385863699</v>
      </c>
      <c r="W23" s="13">
        <f>IF('Offline Table'!W20&gt;0,'Offline Table'!W20,"")</f>
        <v>82926722.582230628</v>
      </c>
      <c r="X23" s="13">
        <f>IF('Offline Table'!X20&gt;0,'Offline Table'!X20,"")</f>
        <v>22421878.063036438</v>
      </c>
      <c r="Y23" s="9" t="str">
        <f>IFERROR(IF('Offline Table'!Y20&gt;0,'Offline Table'!Y20,""),"")</f>
        <v/>
      </c>
      <c r="Z23" s="13">
        <f>IF('Offline Table'!Z20&gt;0,'Offline Table'!Z20,"")</f>
        <v>236142889.34631294</v>
      </c>
      <c r="AA23" s="13">
        <f>IF('Offline Table'!AA20&gt;0,'Offline Table'!AA20,"")</f>
        <v>1</v>
      </c>
      <c r="AB23" s="14">
        <f>IF('Offline Table'!AB20&gt;0,'Offline Table'!AB20,"")</f>
        <v>2831267665.1607151</v>
      </c>
    </row>
    <row r="24" spans="1:28" x14ac:dyDescent="0.45">
      <c r="A24" s="11">
        <f>'Offline Table'!A21</f>
        <v>19</v>
      </c>
      <c r="B24" s="12">
        <f>'Offline Table'!B21</f>
        <v>19</v>
      </c>
      <c r="C24" s="12">
        <f>'Offline Table'!C21</f>
        <v>58</v>
      </c>
      <c r="D24" s="13">
        <f>IF('Offline Table'!D21&gt;0,'Offline Table'!D21,"")</f>
        <v>3373662208.558723</v>
      </c>
      <c r="E24" s="13">
        <f>IF('Offline Table'!E21&gt;0,'Offline Table'!E21,"")</f>
        <v>14519202898</v>
      </c>
      <c r="F24" s="13">
        <f>IF('Offline Table'!F21&gt;0,'Offline Table'!F21,"")</f>
        <v>60725919753</v>
      </c>
      <c r="G24" s="13" t="str">
        <f>IF('Offline Table'!G21&gt;0,'Offline Table'!G21,"")</f>
        <v/>
      </c>
      <c r="H24" s="13" t="str">
        <f>IF('Offline Table'!H21&gt;0,'Offline Table'!H21,"")</f>
        <v/>
      </c>
      <c r="I24" s="13">
        <f>IF('Offline Table'!I21&gt;0,'Offline Table'!I21,"")</f>
        <v>118078177.29955532</v>
      </c>
      <c r="J24" s="13">
        <f>IF('Offline Table'!J21&gt;0,'Offline Table'!J21,"")</f>
        <v>465881569.42203677</v>
      </c>
      <c r="K24" s="13">
        <f>IF('Offline Table'!K21&gt;0,'Offline Table'!K21,"")</f>
        <v>2789702461.837131</v>
      </c>
      <c r="L24" s="13">
        <f>IF('Offline Table'!L21&gt;0,'Offline Table'!L21,"")</f>
        <v>20050931657.305786</v>
      </c>
      <c r="M24" s="13">
        <f>IF('Offline Table'!M21&gt;0,'Offline Table'!M21,"")</f>
        <v>64099581962.615738</v>
      </c>
      <c r="N24" s="13">
        <f>IF('Offline Table'!N21&gt;0,'Offline Table'!N21,"")</f>
        <v>37731408583.47213</v>
      </c>
      <c r="O24" s="13" t="str">
        <f>IF('Offline Table'!O21&gt;0,'Offline Table'!O21,"")</f>
        <v/>
      </c>
      <c r="P24" s="13">
        <f>IF('Offline Table'!P21&gt;0,'Offline Table'!P21,"")</f>
        <v>20050931657.305786</v>
      </c>
      <c r="Q24" s="13">
        <f>IF('Offline Table'!Q21&gt;0,'Offline Table'!Q21,"")</f>
        <v>182177759262.17105</v>
      </c>
      <c r="R24" s="13">
        <f>IF('Offline Table'!R21&gt;0,'Offline Table'!R21,"")</f>
        <v>30362959877.028507</v>
      </c>
      <c r="S24" s="13">
        <f>IF('Offline Table'!S21&gt;0,'Offline Table'!S21,"")</f>
        <v>5000000000</v>
      </c>
      <c r="T24" s="13">
        <f>IF('Offline Table'!T21&gt;0,'Offline Table'!T21,"")</f>
        <v>36435551852.434212</v>
      </c>
      <c r="U24" s="13">
        <f>IF('Offline Table'!U21&gt;0,'Offline Table'!U21,"")</f>
        <v>145742207.40973684</v>
      </c>
      <c r="V24" s="13">
        <f>IF('Offline Table'!V21&gt;0,'Offline Table'!V21,"")</f>
        <v>24290367.901622806</v>
      </c>
      <c r="W24" s="13">
        <f>IF('Offline Table'!W21&gt;0,'Offline Table'!W21,"")</f>
        <v>88407815.57469821</v>
      </c>
      <c r="X24" s="13">
        <f>IF('Offline Table'!X21&gt;0,'Offline Table'!X21,"")</f>
        <v>29148441.48194737</v>
      </c>
      <c r="Y24" s="9" t="str">
        <f>IFERROR(IF('Offline Table'!Y21&gt;0,'Offline Table'!Y21,""),"")</f>
        <v/>
      </c>
      <c r="Z24" s="13">
        <f>IF('Offline Table'!Z21&gt;0,'Offline Table'!Z21,"")</f>
        <v>287588832.36800522</v>
      </c>
      <c r="AA24" s="13">
        <f>IF('Offline Table'!AA21&gt;0,'Offline Table'!AA21,"")</f>
        <v>1</v>
      </c>
      <c r="AB24" s="14">
        <f>IF('Offline Table'!AB21&gt;0,'Offline Table'!AB21,"")</f>
        <v>3661251040.9267282</v>
      </c>
    </row>
    <row r="25" spans="1:28" x14ac:dyDescent="0.45">
      <c r="A25" s="11">
        <f>'Offline Table'!A22</f>
        <v>20</v>
      </c>
      <c r="B25" s="12">
        <f>'Offline Table'!B22</f>
        <v>20</v>
      </c>
      <c r="C25" s="12">
        <f>'Offline Table'!C22</f>
        <v>59</v>
      </c>
      <c r="D25" s="13">
        <f>IF('Offline Table'!D22&gt;0,'Offline Table'!D22,"")</f>
        <v>4385760871.1263399</v>
      </c>
      <c r="E25" s="13">
        <f>IF('Offline Table'!E22&gt;0,'Offline Table'!E22,"")</f>
        <v>18904963769</v>
      </c>
      <c r="F25" s="13">
        <f>IF('Offline Table'!F22&gt;0,'Offline Table'!F22,"")</f>
        <v>78943695679</v>
      </c>
      <c r="G25" s="13" t="str">
        <f>IF('Offline Table'!G22&gt;0,'Offline Table'!G22,"")</f>
        <v/>
      </c>
      <c r="H25" s="13" t="str">
        <f>IF('Offline Table'!H22&gt;0,'Offline Table'!H22,"")</f>
        <v/>
      </c>
      <c r="I25" s="13">
        <f>IF('Offline Table'!I22&gt;0,'Offline Table'!I22,"")</f>
        <v>153501630.4894219</v>
      </c>
      <c r="J25" s="13">
        <f>IF('Offline Table'!J22&gt;0,'Offline Table'!J22,"")</f>
        <v>670754734.76948297</v>
      </c>
      <c r="K25" s="13">
        <f>IF('Offline Table'!K22&gt;0,'Offline Table'!K22,"")</f>
        <v>3561504505.867435</v>
      </c>
      <c r="L25" s="13">
        <f>IF('Offline Table'!L22&gt;0,'Offline Table'!L22,"")</f>
        <v>25973679779.490547</v>
      </c>
      <c r="M25" s="13">
        <f>IF('Offline Table'!M22&gt;0,'Offline Table'!M22,"")</f>
        <v>87715217422.526794</v>
      </c>
      <c r="N25" s="13">
        <f>IF('Offline Table'!N22&gt;0,'Offline Table'!N22,"")</f>
        <v>49853115827.656227</v>
      </c>
      <c r="O25" s="13" t="str">
        <f>IF('Offline Table'!O22&gt;0,'Offline Table'!O22,"")</f>
        <v/>
      </c>
      <c r="P25" s="13">
        <f>IF('Offline Table'!P22&gt;0,'Offline Table'!P22,"")</f>
        <v>25973679779.490547</v>
      </c>
      <c r="Q25" s="13">
        <f>IF('Offline Table'!Q22&gt;0,'Offline Table'!Q22,"")</f>
        <v>236831087040.82236</v>
      </c>
      <c r="R25" s="13">
        <f>IF('Offline Table'!R22&gt;0,'Offline Table'!R22,"")</f>
        <v>39471847840.137062</v>
      </c>
      <c r="S25" s="13">
        <f>IF('Offline Table'!S22&gt;0,'Offline Table'!S22,"")</f>
        <v>5000000000</v>
      </c>
      <c r="T25" s="13">
        <f>IF('Offline Table'!T22&gt;0,'Offline Table'!T22,"")</f>
        <v>47366217408.164474</v>
      </c>
      <c r="U25" s="13">
        <f>IF('Offline Table'!U22&gt;0,'Offline Table'!U22,"")</f>
        <v>189464869.63265789</v>
      </c>
      <c r="V25" s="13">
        <f>IF('Offline Table'!V22&gt;0,'Offline Table'!V22,"")</f>
        <v>31577478.27210965</v>
      </c>
      <c r="W25" s="13">
        <f>IF('Offline Table'!W22&gt;0,'Offline Table'!W22,"")</f>
        <v>94430440.027394056</v>
      </c>
      <c r="X25" s="13">
        <f>IF('Offline Table'!X22&gt;0,'Offline Table'!X22,"")</f>
        <v>37892973.926531583</v>
      </c>
      <c r="Y25" s="9" t="str">
        <f>IFERROR(IF('Offline Table'!Y22&gt;0,'Offline Table'!Y22,""),"")</f>
        <v/>
      </c>
      <c r="Z25" s="13">
        <f>IF('Offline Table'!Z22&gt;0,'Offline Table'!Z22,"")</f>
        <v>353365761.85869312</v>
      </c>
      <c r="AA25" s="13">
        <f>IF('Offline Table'!AA22&gt;0,'Offline Table'!AA22,"")</f>
        <v>1</v>
      </c>
      <c r="AB25" s="14">
        <f>IF('Offline Table'!AB22&gt;0,'Offline Table'!AB22,"")</f>
        <v>4739126632.985033</v>
      </c>
    </row>
    <row r="26" spans="1:28" x14ac:dyDescent="0.45">
      <c r="A26" s="11">
        <f>'Offline Table'!A23</f>
        <v>21</v>
      </c>
      <c r="B26" s="12">
        <f>'Offline Table'!B23</f>
        <v>21</v>
      </c>
      <c r="C26" s="12">
        <f>'Offline Table'!C23</f>
        <v>60</v>
      </c>
      <c r="D26" s="13">
        <f>IF('Offline Table'!D23&gt;0,'Offline Table'!D23,"")</f>
        <v>5701489132.464242</v>
      </c>
      <c r="E26" s="13">
        <f>IF('Offline Table'!E23&gt;0,'Offline Table'!E23,"")</f>
        <v>24606452901</v>
      </c>
      <c r="F26" s="13">
        <f>IF('Offline Table'!F23&gt;0,'Offline Table'!F23,"")</f>
        <v>102626804383</v>
      </c>
      <c r="G26" s="13" t="str">
        <f>IF('Offline Table'!G23&gt;0,'Offline Table'!G23,"")</f>
        <v/>
      </c>
      <c r="H26" s="13" t="str">
        <f>IF('Offline Table'!H23&gt;0,'Offline Table'!H23,"")</f>
        <v/>
      </c>
      <c r="I26" s="13">
        <f>IF('Offline Table'!I23&gt;0,'Offline Table'!I23,"")</f>
        <v>199552119.6362485</v>
      </c>
      <c r="J26" s="13">
        <f>IF('Offline Table'!J23&gt;0,'Offline Table'!J23,"")</f>
        <v>959907856.65191185</v>
      </c>
      <c r="K26" s="13">
        <f>IF('Offline Table'!K23&gt;0,'Offline Table'!K23,"")</f>
        <v>4542029156.1760817</v>
      </c>
      <c r="L26" s="13">
        <f>IF('Offline Table'!L23&gt;0,'Offline Table'!L23,"")</f>
        <v>33567279829.233295</v>
      </c>
      <c r="M26" s="13">
        <f>IF('Offline Table'!M23&gt;0,'Offline Table'!M23,"")</f>
        <v>119731271781.74908</v>
      </c>
      <c r="N26" s="13">
        <f>IF('Offline Table'!N23&gt;0,'Offline Table'!N23,"")</f>
        <v>65671498096.39447</v>
      </c>
      <c r="O26" s="13" t="str">
        <f>IF('Offline Table'!O23&gt;0,'Offline Table'!O23,"")</f>
        <v/>
      </c>
      <c r="P26" s="13">
        <f>IF('Offline Table'!P23&gt;0,'Offline Table'!P23,"")</f>
        <v>33567279829.233295</v>
      </c>
      <c r="Q26" s="13">
        <f>IF('Offline Table'!Q23&gt;0,'Offline Table'!Q23,"")</f>
        <v>307880413153.06909</v>
      </c>
      <c r="R26" s="13">
        <f>IF('Offline Table'!R23&gt;0,'Offline Table'!R23,"")</f>
        <v>51313402192.178177</v>
      </c>
      <c r="S26" s="13">
        <f>IF('Offline Table'!S23&gt;0,'Offline Table'!S23,"")</f>
        <v>5000000000</v>
      </c>
      <c r="T26" s="13">
        <f>IF('Offline Table'!T23&gt;0,'Offline Table'!T23,"")</f>
        <v>61576082630.613823</v>
      </c>
      <c r="U26" s="13">
        <f>IF('Offline Table'!U23&gt;0,'Offline Table'!U23,"")</f>
        <v>246304330.52245528</v>
      </c>
      <c r="V26" s="13">
        <f>IF('Offline Table'!V23&gt;0,'Offline Table'!V23,"")</f>
        <v>41050721.753742546</v>
      </c>
      <c r="W26" s="13">
        <f>IF('Offline Table'!W23&gt;0,'Offline Table'!W23,"")</f>
        <v>100839900</v>
      </c>
      <c r="X26" s="13">
        <f>IF('Offline Table'!X23&gt;0,'Offline Table'!X23,"")</f>
        <v>49260866.104491062</v>
      </c>
      <c r="Y26" s="9" t="str">
        <f>IFERROR(IF('Offline Table'!Y23&gt;0,'Offline Table'!Y23,""),"")</f>
        <v/>
      </c>
      <c r="Z26" s="13">
        <f>IF('Offline Table'!Z23&gt;0,'Offline Table'!Z23,"")</f>
        <v>437455818.38068885</v>
      </c>
      <c r="AA26" s="13">
        <f>IF('Offline Table'!AA23&gt;0,'Offline Table'!AA23,"")</f>
        <v>1</v>
      </c>
      <c r="AB26" s="14">
        <f>IF('Offline Table'!AB23&gt;0,'Offline Table'!AB23,"")</f>
        <v>6138944950.8449306</v>
      </c>
    </row>
    <row r="27" spans="1:28" x14ac:dyDescent="0.45">
      <c r="A27" s="11">
        <f>'Offline Table'!A24</f>
        <v>22</v>
      </c>
      <c r="B27" s="12">
        <f>'Offline Table'!B24</f>
        <v>22</v>
      </c>
      <c r="C27" s="12">
        <f>'Offline Table'!C24</f>
        <v>61</v>
      </c>
      <c r="D27" s="13">
        <f>IF('Offline Table'!D24&gt;0,'Offline Table'!D24,"")</f>
        <v>7411935872.2035151</v>
      </c>
      <c r="E27" s="13">
        <f>IF('Offline Table'!E24&gt;0,'Offline Table'!E24,"")</f>
        <v>32018388773</v>
      </c>
      <c r="F27" s="13">
        <f>IF('Offline Table'!F24&gt;0,'Offline Table'!F24,"")</f>
        <v>133414845698</v>
      </c>
      <c r="G27" s="13" t="str">
        <f>IF('Offline Table'!G24&gt;0,'Offline Table'!G24,"")</f>
        <v/>
      </c>
      <c r="H27" s="13" t="str">
        <f>IF('Offline Table'!H24&gt;0,'Offline Table'!H24,"")</f>
        <v/>
      </c>
      <c r="I27" s="13">
        <f>IF('Offline Table'!I24&gt;0,'Offline Table'!I24,"")</f>
        <v>259417755.52712306</v>
      </c>
      <c r="J27" s="13">
        <f>IF('Offline Table'!J24&gt;0,'Offline Table'!J24,"")</f>
        <v>1380195718.8275785</v>
      </c>
      <c r="K27" s="13">
        <f>IF('Offline Table'!K24&gt;0,'Offline Table'!K24,"")</f>
        <v>5772322397.848814</v>
      </c>
      <c r="L27" s="13">
        <f>IF('Offline Table'!L24&gt;0,'Offline Table'!L24,"")</f>
        <v>43273562449.790321</v>
      </c>
      <c r="M27" s="13">
        <f>IF('Offline Table'!M24&gt;0,'Offline Table'!M24,"")</f>
        <v>163062589188.47733</v>
      </c>
      <c r="N27" s="13">
        <f>IF('Offline Table'!N24&gt;0,'Offline Table'!N24,"")</f>
        <v>86254439122.855194</v>
      </c>
      <c r="O27" s="13" t="str">
        <f>IF('Offline Table'!O24&gt;0,'Offline Table'!O24,"")</f>
        <v/>
      </c>
      <c r="P27" s="13">
        <f>IF('Offline Table'!P24&gt;0,'Offline Table'!P24,"")</f>
        <v>43273562449.790321</v>
      </c>
      <c r="Q27" s="13">
        <f>IF('Offline Table'!Q24&gt;0,'Offline Table'!Q24,"")</f>
        <v>400244537098.98981</v>
      </c>
      <c r="R27" s="13">
        <f>IF('Offline Table'!R24&gt;0,'Offline Table'!R24,"")</f>
        <v>66707422849.831635</v>
      </c>
      <c r="S27" s="13" t="str">
        <f>IF('Offline Table'!S24&gt;0,'Offline Table'!S24,"")</f>
        <v/>
      </c>
      <c r="T27" s="13">
        <f>IF('Offline Table'!T24&gt;0,'Offline Table'!T24,"")</f>
        <v>80048907419.797958</v>
      </c>
      <c r="U27" s="13">
        <f>IF('Offline Table'!U24&gt;0,'Offline Table'!U24,"")</f>
        <v>320195629.67919189</v>
      </c>
      <c r="V27" s="13" t="str">
        <f>IF('Offline Table'!V24&gt;0,'Offline Table'!V24,"")</f>
        <v/>
      </c>
      <c r="W27" s="13" t="str">
        <f>IF('Offline Table'!W24&gt;0,'Offline Table'!W24,"")</f>
        <v/>
      </c>
      <c r="X27" s="13">
        <f>IF('Offline Table'!X24&gt;0,'Offline Table'!X24,"")</f>
        <v>64039125.935838372</v>
      </c>
      <c r="Y27" s="9" t="str">
        <f>IFERROR(IF('Offline Table'!Y24&gt;0,'Offline Table'!Y24,""),"")</f>
        <v/>
      </c>
      <c r="Z27" s="13">
        <f>IF('Offline Table'!Z24&gt;0,'Offline Table'!Z24,"")</f>
        <v>384234755.61503029</v>
      </c>
      <c r="AA27" s="13">
        <f>IF('Offline Table'!AA24&gt;0,'Offline Table'!AA24,"")</f>
        <v>1</v>
      </c>
      <c r="AB27" s="14">
        <f>IF('Offline Table'!AB24&gt;0,'Offline Table'!AB24,"")</f>
        <v>7796170627.8185453</v>
      </c>
    </row>
    <row r="28" spans="1:28" x14ac:dyDescent="0.45">
      <c r="A28" s="11">
        <f>'Offline Table'!A25</f>
        <v>23</v>
      </c>
      <c r="B28" s="12">
        <f>'Offline Table'!B25</f>
        <v>23</v>
      </c>
      <c r="C28" s="12">
        <f>'Offline Table'!C25</f>
        <v>62</v>
      </c>
      <c r="D28" s="13">
        <f>IF('Offline Table'!D25&gt;0,'Offline Table'!D25,"")</f>
        <v>9635516633.8645706</v>
      </c>
      <c r="E28" s="13">
        <f>IF('Offline Table'!E25&gt;0,'Offline Table'!E25,"")</f>
        <v>41653905406</v>
      </c>
      <c r="F28" s="13">
        <f>IF('Offline Table'!F25&gt;0,'Offline Table'!F25,"")</f>
        <v>173439299407</v>
      </c>
      <c r="G28" s="13" t="str">
        <f>IF('Offline Table'!G25&gt;0,'Offline Table'!G25,"")</f>
        <v/>
      </c>
      <c r="H28" s="13" t="str">
        <f>IF('Offline Table'!H25&gt;0,'Offline Table'!H25,"")</f>
        <v/>
      </c>
      <c r="I28" s="13">
        <f>IF('Offline Table'!I25&gt;0,'Offline Table'!I25,"")</f>
        <v>337243082.18526</v>
      </c>
      <c r="J28" s="13">
        <f>IF('Offline Table'!J25&gt;0,'Offline Table'!J25,"")</f>
        <v>1981316119.2989149</v>
      </c>
      <c r="K28" s="13">
        <f>IF('Offline Table'!K25&gt;0,'Offline Table'!K25,"")</f>
        <v>7316957432.3803959</v>
      </c>
      <c r="L28" s="13">
        <f>IF('Offline Table'!L25&gt;0,'Offline Table'!L25,"")</f>
        <v>55649571870.387794</v>
      </c>
      <c r="M28" s="13">
        <f>IF('Offline Table'!M25&gt;0,'Offline Table'!M25,"")</f>
        <v>221616882578.88513</v>
      </c>
      <c r="N28" s="13">
        <f>IF('Offline Table'!N25&gt;0,'Offline Table'!N25,"")</f>
        <v>112969159151.62239</v>
      </c>
      <c r="O28" s="13" t="str">
        <f>IF('Offline Table'!O25&gt;0,'Offline Table'!O25,"")</f>
        <v/>
      </c>
      <c r="P28" s="13">
        <f>IF('Offline Table'!P25&gt;0,'Offline Table'!P25,"")</f>
        <v>55649571870.387794</v>
      </c>
      <c r="Q28" s="13">
        <f>IF('Offline Table'!Q25&gt;0,'Offline Table'!Q25,"")</f>
        <v>520317898228.68683</v>
      </c>
      <c r="R28" s="13">
        <f>IF('Offline Table'!R25&gt;0,'Offline Table'!R25,"")</f>
        <v>86719649704.781128</v>
      </c>
      <c r="S28" s="13" t="str">
        <f>IF('Offline Table'!S25&gt;0,'Offline Table'!S25,"")</f>
        <v/>
      </c>
      <c r="T28" s="13">
        <f>IF('Offline Table'!T25&gt;0,'Offline Table'!T25,"")</f>
        <v>104063579645.73737</v>
      </c>
      <c r="U28" s="13">
        <f>IF('Offline Table'!U25&gt;0,'Offline Table'!U25,"")</f>
        <v>416254318.58294946</v>
      </c>
      <c r="V28" s="13" t="str">
        <f>IF('Offline Table'!V25&gt;0,'Offline Table'!V25,"")</f>
        <v/>
      </c>
      <c r="W28" s="13" t="str">
        <f>IF('Offline Table'!W25&gt;0,'Offline Table'!W25,"")</f>
        <v/>
      </c>
      <c r="X28" s="13">
        <f>IF('Offline Table'!X25&gt;0,'Offline Table'!X25,"")</f>
        <v>83250863.716589898</v>
      </c>
      <c r="Y28" s="9" t="str">
        <f>IFERROR(IF('Offline Table'!Y25&gt;0,'Offline Table'!Y25,""),"")</f>
        <v/>
      </c>
      <c r="Z28" s="13">
        <f>IF('Offline Table'!Z25&gt;0,'Offline Table'!Z25,"")</f>
        <v>499505182.29953933</v>
      </c>
      <c r="AA28" s="13">
        <f>IF('Offline Table'!AA25&gt;0,'Offline Table'!AA25,"")</f>
        <v>1</v>
      </c>
      <c r="AB28" s="14">
        <f>IF('Offline Table'!AB25&gt;0,'Offline Table'!AB25,"")</f>
        <v>10135021816.16411</v>
      </c>
    </row>
    <row r="29" spans="1:28" x14ac:dyDescent="0.45">
      <c r="A29" s="11">
        <f>'Offline Table'!A26</f>
        <v>24</v>
      </c>
      <c r="B29" s="12">
        <f>'Offline Table'!B26</f>
        <v>24</v>
      </c>
      <c r="C29" s="12">
        <f>'Offline Table'!C26</f>
        <v>63</v>
      </c>
      <c r="D29" s="13">
        <f>IF('Offline Table'!D26&gt;0,'Offline Table'!D26,"")</f>
        <v>12526171624.023943</v>
      </c>
      <c r="E29" s="13">
        <f>IF('Offline Table'!E26&gt;0,'Offline Table'!E26,"")</f>
        <v>54180077030</v>
      </c>
      <c r="F29" s="13">
        <f>IF('Offline Table'!F26&gt;0,'Offline Table'!F26,"")</f>
        <v>225471089229</v>
      </c>
      <c r="G29" s="13" t="str">
        <f>IF('Offline Table'!G26&gt;0,'Offline Table'!G26,"")</f>
        <v/>
      </c>
      <c r="H29" s="13" t="str">
        <f>IF('Offline Table'!H26&gt;0,'Offline Table'!H26,"")</f>
        <v/>
      </c>
      <c r="I29" s="13">
        <f>IF('Offline Table'!I26&gt;0,'Offline Table'!I26,"")</f>
        <v>438416006.84083807</v>
      </c>
      <c r="J29" s="13">
        <f>IF('Offline Table'!J26&gt;0,'Offline Table'!J26,"")</f>
        <v>2845104518.5571628</v>
      </c>
      <c r="K29" s="13">
        <f>IF('Offline Table'!K26&gt;0,'Offline Table'!K26,"")</f>
        <v>9242651098.6259422</v>
      </c>
      <c r="L29" s="13">
        <f>IF('Offline Table'!L26&gt;0,'Offline Table'!L26,"")</f>
        <v>71381445265.915115</v>
      </c>
      <c r="M29" s="13">
        <f>IF('Offline Table'!M26&gt;0,'Offline Table'!M26,"")</f>
        <v>300628118976.57465</v>
      </c>
      <c r="N29" s="13">
        <f>IF('Offline Table'!N26&gt;0,'Offline Table'!N26,"")</f>
        <v>147546856738.6225</v>
      </c>
      <c r="O29" s="13" t="str">
        <f>IF('Offline Table'!O26&gt;0,'Offline Table'!O26,"")</f>
        <v/>
      </c>
      <c r="P29" s="13">
        <f>IF('Offline Table'!P26&gt;0,'Offline Table'!P26,"")</f>
        <v>71381445265.915115</v>
      </c>
      <c r="Q29" s="13">
        <f>IF('Offline Table'!Q26&gt;0,'Offline Table'!Q26,"")</f>
        <v>676413267697.29297</v>
      </c>
      <c r="R29" s="13">
        <f>IF('Offline Table'!R26&gt;0,'Offline Table'!R26,"")</f>
        <v>112735544616.21548</v>
      </c>
      <c r="S29" s="13" t="str">
        <f>IF('Offline Table'!S26&gt;0,'Offline Table'!S26,"")</f>
        <v/>
      </c>
      <c r="T29" s="13">
        <f>IF('Offline Table'!T26&gt;0,'Offline Table'!T26,"")</f>
        <v>135282653539.4586</v>
      </c>
      <c r="U29" s="13">
        <f>IF('Offline Table'!U26&gt;0,'Offline Table'!U26,"")</f>
        <v>541130614.15783441</v>
      </c>
      <c r="V29" s="13" t="str">
        <f>IF('Offline Table'!V26&gt;0,'Offline Table'!V26,"")</f>
        <v/>
      </c>
      <c r="W29" s="13" t="str">
        <f>IF('Offline Table'!W26&gt;0,'Offline Table'!W26,"")</f>
        <v/>
      </c>
      <c r="X29" s="13">
        <f>IF('Offline Table'!X26&gt;0,'Offline Table'!X26,"")</f>
        <v>108226122.83156689</v>
      </c>
      <c r="Y29" s="9" t="str">
        <f>IFERROR(IF('Offline Table'!Y26&gt;0,'Offline Table'!Y26,""),"")</f>
        <v/>
      </c>
      <c r="Z29" s="13">
        <f>IF('Offline Table'!Z26&gt;0,'Offline Table'!Z26,"")</f>
        <v>649356736.98940134</v>
      </c>
      <c r="AA29" s="13">
        <f>IF('Offline Table'!AA26&gt;0,'Offline Table'!AA26,"")</f>
        <v>1</v>
      </c>
      <c r="AB29" s="14">
        <f>IF('Offline Table'!AB26&gt;0,'Offline Table'!AB26,"")</f>
        <v>13175528361.013344</v>
      </c>
    </row>
    <row r="30" spans="1:28" x14ac:dyDescent="0.45">
      <c r="A30" s="11">
        <f>'Offline Table'!A27</f>
        <v>25</v>
      </c>
      <c r="B30" s="12">
        <f>'Offline Table'!B27</f>
        <v>25</v>
      </c>
      <c r="C30" s="12">
        <f>'Offline Table'!C27</f>
        <v>64</v>
      </c>
      <c r="D30" s="13">
        <f>IF('Offline Table'!D27&gt;0,'Offline Table'!D27,"")</f>
        <v>16284023111.231127</v>
      </c>
      <c r="E30" s="13">
        <f>IF('Offline Table'!E27&gt;0,'Offline Table'!E27,"")</f>
        <v>70464100141</v>
      </c>
      <c r="F30" s="13">
        <f>IF('Offline Table'!F27&gt;0,'Offline Table'!F27,"")</f>
        <v>293112415998</v>
      </c>
      <c r="G30" s="13" t="str">
        <f>IF('Offline Table'!G27&gt;0,'Offline Table'!G27,"")</f>
        <v/>
      </c>
      <c r="H30" s="13" t="str">
        <f>IF('Offline Table'!H27&gt;0,'Offline Table'!H27,"")</f>
        <v/>
      </c>
      <c r="I30" s="13">
        <f>IF('Offline Table'!I27&gt;0,'Offline Table'!I27,"")</f>
        <v>569940808.89308953</v>
      </c>
      <c r="J30" s="13">
        <f>IF('Offline Table'!J27&gt;0,'Offline Table'!J27,"")</f>
        <v>4092364524.5149875</v>
      </c>
      <c r="K30" s="13">
        <f>IF('Offline Table'!K27&gt;0,'Offline Table'!K27,"")</f>
        <v>11621717777.82305</v>
      </c>
      <c r="L30" s="13">
        <f>IF('Offline Table'!L27&gt;0,'Offline Table'!L27,"")</f>
        <v>91303479348.111984</v>
      </c>
      <c r="M30" s="13">
        <f>IF('Offline Table'!M27&gt;0,'Offline Table'!M27,"")</f>
        <v>407100577780.7782</v>
      </c>
      <c r="N30" s="13">
        <f>IF('Offline Table'!N27&gt;0,'Offline Table'!N27,"")</f>
        <v>192164920995.60428</v>
      </c>
      <c r="O30" s="13" t="str">
        <f>IF('Offline Table'!O27&gt;0,'Offline Table'!O27,"")</f>
        <v/>
      </c>
      <c r="P30" s="13">
        <f>IF('Offline Table'!P27&gt;0,'Offline Table'!P27,"")</f>
        <v>91303479348.111984</v>
      </c>
      <c r="Q30" s="13">
        <f>IF('Offline Table'!Q27&gt;0,'Offline Table'!Q27,"")</f>
        <v>879337248006.48083</v>
      </c>
      <c r="R30" s="13">
        <f>IF('Offline Table'!R27&gt;0,'Offline Table'!R27,"")</f>
        <v>146556208001.08014</v>
      </c>
      <c r="S30" s="13" t="str">
        <f>IF('Offline Table'!S27&gt;0,'Offline Table'!S27,"")</f>
        <v/>
      </c>
      <c r="T30" s="13">
        <f>IF('Offline Table'!T27&gt;0,'Offline Table'!T27,"")</f>
        <v>175867449601.29617</v>
      </c>
      <c r="U30" s="13">
        <f>IF('Offline Table'!U27&gt;0,'Offline Table'!U27,"")</f>
        <v>703469798.40518475</v>
      </c>
      <c r="V30" s="13" t="str">
        <f>IF('Offline Table'!V27&gt;0,'Offline Table'!V27,"")</f>
        <v/>
      </c>
      <c r="W30" s="13" t="str">
        <f>IF('Offline Table'!W27&gt;0,'Offline Table'!W27,"")</f>
        <v/>
      </c>
      <c r="X30" s="13">
        <f>IF('Offline Table'!X27&gt;0,'Offline Table'!X27,"")</f>
        <v>140693959.68103695</v>
      </c>
      <c r="Y30" s="9" t="str">
        <f>IFERROR(IF('Offline Table'!Y27&gt;0,'Offline Table'!Y27,""),"")</f>
        <v/>
      </c>
      <c r="Z30" s="13">
        <f>IF('Offline Table'!Z27&gt;0,'Offline Table'!Z27,"")</f>
        <v>844163758.08622169</v>
      </c>
      <c r="AA30" s="13">
        <f>IF('Offline Table'!AA27&gt;0,'Offline Table'!AA27,"")</f>
        <v>1</v>
      </c>
      <c r="AB30" s="14">
        <f>IF('Offline Table'!AB27&gt;0,'Offline Table'!AB27,"")</f>
        <v>17128186869.317348</v>
      </c>
    </row>
    <row r="31" spans="1:28" x14ac:dyDescent="0.45">
      <c r="A31" s="11">
        <f>'Offline Table'!A28</f>
        <v>26</v>
      </c>
      <c r="B31" s="12">
        <f>'Offline Table'!B28</f>
        <v>26</v>
      </c>
      <c r="C31" s="12">
        <f>'Offline Table'!C28</f>
        <v>65</v>
      </c>
      <c r="D31" s="13">
        <f>IF('Offline Table'!D28&gt;0,'Offline Table'!D28,"")</f>
        <v>21169230044.600464</v>
      </c>
      <c r="E31" s="13">
        <f>IF('Offline Table'!E28&gt;0,'Offline Table'!E28,"")</f>
        <v>91633330185</v>
      </c>
      <c r="F31" s="13">
        <f>IF('Offline Table'!F28&gt;0,'Offline Table'!F28,"")</f>
        <v>381046140797</v>
      </c>
      <c r="G31" s="13" t="str">
        <f>IF('Offline Table'!G28&gt;0,'Offline Table'!G28,"")</f>
        <v/>
      </c>
      <c r="H31" s="13" t="str">
        <f>IF('Offline Table'!H28&gt;0,'Offline Table'!H28,"")</f>
        <v/>
      </c>
      <c r="I31" s="13">
        <f>IF('Offline Table'!I28&gt;0,'Offline Table'!I28,"")</f>
        <v>740923051.56101632</v>
      </c>
      <c r="J31" s="13">
        <f>IF('Offline Table'!J28&gt;0,'Offline Table'!J28,"")</f>
        <v>5879848942.4042778</v>
      </c>
      <c r="K31" s="13">
        <f>IF('Offline Table'!K28&gt;0,'Offline Table'!K28,"")</f>
        <v>14548458050.63517</v>
      </c>
      <c r="L31" s="13">
        <f>IF('Offline Table'!L28&gt;0,'Offline Table'!L28,"")</f>
        <v>116437131138.62189</v>
      </c>
      <c r="M31" s="13">
        <f>IF('Offline Table'!M28&gt;0,'Offline Table'!M28,"")</f>
        <v>550399981159.61206</v>
      </c>
      <c r="N31" s="13">
        <f>IF('Offline Table'!N28&gt;0,'Offline Table'!N28,"")</f>
        <v>249565972892.7883</v>
      </c>
      <c r="O31" s="13" t="str">
        <f>IF('Offline Table'!O28&gt;0,'Offline Table'!O28,"")</f>
        <v/>
      </c>
      <c r="P31" s="13">
        <f>IF('Offline Table'!P28&gt;0,'Offline Table'!P28,"")</f>
        <v>116437131138.62189</v>
      </c>
      <c r="Q31" s="13">
        <f>IF('Offline Table'!Q28&gt;0,'Offline Table'!Q28,"")</f>
        <v>1143138422408.425</v>
      </c>
      <c r="R31" s="13">
        <f>IF('Offline Table'!R28&gt;0,'Offline Table'!R28,"")</f>
        <v>190523070401.40417</v>
      </c>
      <c r="S31" s="13" t="str">
        <f>IF('Offline Table'!S28&gt;0,'Offline Table'!S28,"")</f>
        <v/>
      </c>
      <c r="T31" s="13">
        <f>IF('Offline Table'!T28&gt;0,'Offline Table'!T28,"")</f>
        <v>228627684481.68503</v>
      </c>
      <c r="U31" s="13">
        <f>IF('Offline Table'!U28&gt;0,'Offline Table'!U28,"")</f>
        <v>914510737.92674005</v>
      </c>
      <c r="V31" s="13" t="str">
        <f>IF('Offline Table'!V28&gt;0,'Offline Table'!V28,"")</f>
        <v/>
      </c>
      <c r="W31" s="13" t="str">
        <f>IF('Offline Table'!W28&gt;0,'Offline Table'!W28,"")</f>
        <v/>
      </c>
      <c r="X31" s="13">
        <f>IF('Offline Table'!X28&gt;0,'Offline Table'!X28,"")</f>
        <v>182902147.58534804</v>
      </c>
      <c r="Y31" s="9" t="str">
        <f>IFERROR(IF('Offline Table'!Y28&gt;0,'Offline Table'!Y28,""),"")</f>
        <v/>
      </c>
      <c r="Z31" s="13">
        <f>IF('Offline Table'!Z28&gt;0,'Offline Table'!Z28,"")</f>
        <v>1097412885.5120881</v>
      </c>
      <c r="AA31" s="13">
        <f>IF('Offline Table'!AA28&gt;0,'Offline Table'!AA28,"")</f>
        <v>1</v>
      </c>
      <c r="AB31" s="14">
        <f>IF('Offline Table'!AB28&gt;0,'Offline Table'!AB28,"")</f>
        <v>22266642930.112553</v>
      </c>
    </row>
    <row r="32" spans="1:28" x14ac:dyDescent="0.45">
      <c r="A32" s="11">
        <f>'Offline Table'!A29</f>
        <v>27</v>
      </c>
      <c r="B32" s="12">
        <f>'Offline Table'!B29</f>
        <v>27</v>
      </c>
      <c r="C32" s="12">
        <f>'Offline Table'!C29</f>
        <v>66</v>
      </c>
      <c r="D32" s="13">
        <f>IF('Offline Table'!D29&gt;0,'Offline Table'!D29,"")</f>
        <v>27519999057.980602</v>
      </c>
      <c r="E32" s="13">
        <f>IF('Offline Table'!E29&gt;0,'Offline Table'!E29,"")</f>
        <v>119153329242</v>
      </c>
      <c r="F32" s="13">
        <f>IF('Offline Table'!F29&gt;0,'Offline Table'!F29,"")</f>
        <v>495359983036</v>
      </c>
      <c r="G32" s="13" t="str">
        <f>IF('Offline Table'!G29&gt;0,'Offline Table'!G29,"")</f>
        <v/>
      </c>
      <c r="H32" s="13" t="str">
        <f>IF('Offline Table'!H29&gt;0,'Offline Table'!H29,"")</f>
        <v/>
      </c>
      <c r="I32" s="13">
        <f>IF('Offline Table'!I29&gt;0,'Offline Table'!I29,"")</f>
        <v>963199967.02932119</v>
      </c>
      <c r="J32" s="13">
        <f>IF('Offline Table'!J29&gt;0,'Offline Table'!J29,"")</f>
        <v>8445925513.1321096</v>
      </c>
      <c r="K32" s="13">
        <f>IF('Offline Table'!K29&gt;0,'Offline Table'!K29,"")</f>
        <v>18110873577.819172</v>
      </c>
      <c r="L32" s="13">
        <f>IF('Offline Table'!L29&gt;0,'Offline Table'!L29,"")</f>
        <v>148002805188.08517</v>
      </c>
      <c r="M32" s="13">
        <f>IF('Offline Table'!M29&gt;0,'Offline Table'!M29,"")</f>
        <v>743039974565.47632</v>
      </c>
      <c r="N32" s="13">
        <f>IF('Offline Table'!N29&gt;0,'Offline Table'!N29,"")</f>
        <v>323167435598.67792</v>
      </c>
      <c r="O32" s="13" t="str">
        <f>IF('Offline Table'!O29&gt;0,'Offline Table'!O29,"")</f>
        <v/>
      </c>
      <c r="P32" s="13">
        <f>IF('Offline Table'!P29&gt;0,'Offline Table'!P29,"")</f>
        <v>148002805188.08517</v>
      </c>
      <c r="Q32" s="13">
        <f>IF('Offline Table'!Q29&gt;0,'Offline Table'!Q29,"")</f>
        <v>1486079949130.9526</v>
      </c>
      <c r="R32" s="13" t="str">
        <f>IF('Offline Table'!R29&gt;0,'Offline Table'!R29,"")</f>
        <v/>
      </c>
      <c r="S32" s="13" t="str">
        <f>IF('Offline Table'!S29&gt;0,'Offline Table'!S29,"")</f>
        <v/>
      </c>
      <c r="T32" s="13" t="str">
        <f>IF('Offline Table'!T29&gt;0,'Offline Table'!T29,"")</f>
        <v/>
      </c>
      <c r="U32" s="13">
        <f>IF('Offline Table'!U29&gt;0,'Offline Table'!U29,"")</f>
        <v>1188863959.3047621</v>
      </c>
      <c r="V32" s="13" t="str">
        <f>IF('Offline Table'!V29&gt;0,'Offline Table'!V29,"")</f>
        <v/>
      </c>
      <c r="W32" s="13" t="str">
        <f>IF('Offline Table'!W29&gt;0,'Offline Table'!W29,"")</f>
        <v/>
      </c>
      <c r="X32" s="13" t="str">
        <f>IF('Offline Table'!X29&gt;0,'Offline Table'!X29,"")</f>
        <v/>
      </c>
      <c r="Y32" s="9" t="str">
        <f>IFERROR(IF('Offline Table'!Y29&gt;0,'Offline Table'!Y29,""),"")</f>
        <v/>
      </c>
      <c r="Z32" s="13">
        <f>IF('Offline Table'!Z29&gt;0,'Offline Table'!Z29,"")</f>
        <v>1188863959.3047621</v>
      </c>
      <c r="AA32" s="13">
        <f>IF('Offline Table'!AA29&gt;0,'Offline Table'!AA29,"")</f>
        <v>1</v>
      </c>
      <c r="AB32" s="14">
        <f>IF('Offline Table'!AB29&gt;0,'Offline Table'!AB29,"")</f>
        <v>28708863017.285366</v>
      </c>
    </row>
    <row r="33" spans="1:28" x14ac:dyDescent="0.45">
      <c r="A33" s="11">
        <f>'Offline Table'!A30</f>
        <v>28</v>
      </c>
      <c r="B33" s="12">
        <f>'Offline Table'!B30</f>
        <v>28</v>
      </c>
      <c r="C33" s="12">
        <f>'Offline Table'!C30</f>
        <v>67</v>
      </c>
      <c r="D33" s="13">
        <f>IF('Offline Table'!D30&gt;0,'Offline Table'!D30,"")</f>
        <v>35775998775.374786</v>
      </c>
      <c r="E33" s="13">
        <f>IF('Offline Table'!E30&gt;0,'Offline Table'!E30,"")</f>
        <v>154929328017</v>
      </c>
      <c r="F33" s="13">
        <f>IF('Offline Table'!F30&gt;0,'Offline Table'!F30,"")</f>
        <v>643967977947</v>
      </c>
      <c r="G33" s="13" t="str">
        <f>IF('Offline Table'!G30&gt;0,'Offline Table'!G30,"")</f>
        <v/>
      </c>
      <c r="H33" s="13" t="str">
        <f>IF('Offline Table'!H30&gt;0,'Offline Table'!H30,"")</f>
        <v/>
      </c>
      <c r="I33" s="13">
        <f>IF('Offline Table'!I30&gt;0,'Offline Table'!I30,"")</f>
        <v>1252159957.1381176</v>
      </c>
      <c r="J33" s="13">
        <f>IF('Offline Table'!J30&gt;0,'Offline Table'!J30,"")</f>
        <v>12137206013.033628</v>
      </c>
      <c r="K33" s="13">
        <f>IF('Offline Table'!K30&gt;0,'Offline Table'!K30,"")</f>
        <v>22386632805.203041</v>
      </c>
      <c r="L33" s="13">
        <f>IF('Offline Table'!L30&gt;0,'Offline Table'!L30,"")</f>
        <v>187428381792.61703</v>
      </c>
      <c r="M33" s="13">
        <f>IF('Offline Table'!M30&gt;0,'Offline Table'!M30,"")</f>
        <v>1001727965710.494</v>
      </c>
      <c r="N33" s="13">
        <f>IF('Offline Table'!N30&gt;0,'Offline Table'!N30,"")</f>
        <v>417188948611.71558</v>
      </c>
      <c r="O33" s="13" t="str">
        <f>IF('Offline Table'!O30&gt;0,'Offline Table'!O30,"")</f>
        <v/>
      </c>
      <c r="P33" s="13">
        <f>IF('Offline Table'!P30&gt;0,'Offline Table'!P30,"")</f>
        <v>187428381792.61703</v>
      </c>
      <c r="Q33" s="13">
        <f>IF('Offline Table'!Q30&gt;0,'Offline Table'!Q30,"")</f>
        <v>1931903933870.2385</v>
      </c>
      <c r="R33" s="13" t="str">
        <f>IF('Offline Table'!R30&gt;0,'Offline Table'!R30,"")</f>
        <v/>
      </c>
      <c r="S33" s="13" t="str">
        <f>IF('Offline Table'!S30&gt;0,'Offline Table'!S30,"")</f>
        <v/>
      </c>
      <c r="T33" s="13" t="str">
        <f>IF('Offline Table'!T30&gt;0,'Offline Table'!T30,"")</f>
        <v/>
      </c>
      <c r="U33" s="13">
        <f>IF('Offline Table'!U30&gt;0,'Offline Table'!U30,"")</f>
        <v>1545523147.0961909</v>
      </c>
      <c r="V33" s="13" t="str">
        <f>IF('Offline Table'!V30&gt;0,'Offline Table'!V30,"")</f>
        <v/>
      </c>
      <c r="W33" s="13" t="str">
        <f>IF('Offline Table'!W30&gt;0,'Offline Table'!W30,"")</f>
        <v/>
      </c>
      <c r="X33" s="13" t="str">
        <f>IF('Offline Table'!X30&gt;0,'Offline Table'!X30,"")</f>
        <v/>
      </c>
      <c r="Y33" s="9" t="str">
        <f>IFERROR(IF('Offline Table'!Y30&gt;0,'Offline Table'!Y30,""),"")</f>
        <v/>
      </c>
      <c r="Z33" s="13">
        <f>IF('Offline Table'!Z30&gt;0,'Offline Table'!Z30,"")</f>
        <v>1545523147.0961909</v>
      </c>
      <c r="AA33" s="13">
        <f>IF('Offline Table'!AA30&gt;0,'Offline Table'!AA30,"")</f>
        <v>1</v>
      </c>
      <c r="AB33" s="14">
        <f>IF('Offline Table'!AB30&gt;0,'Offline Table'!AB30,"")</f>
        <v>37321521922.470978</v>
      </c>
    </row>
    <row r="34" spans="1:28" x14ac:dyDescent="0.45">
      <c r="A34" s="11">
        <f>'Offline Table'!A31</f>
        <v>29</v>
      </c>
      <c r="B34" s="12">
        <f>'Offline Table'!B31</f>
        <v>29</v>
      </c>
      <c r="C34" s="12">
        <f>'Offline Table'!C31</f>
        <v>68</v>
      </c>
      <c r="D34" s="13">
        <f>IF('Offline Table'!D31&gt;0,'Offline Table'!D31,"")</f>
        <v>46508798407.987221</v>
      </c>
      <c r="E34" s="13">
        <f>IF('Offline Table'!E31&gt;0,'Offline Table'!E31,"")</f>
        <v>201438126424</v>
      </c>
      <c r="F34" s="13">
        <f>IF('Offline Table'!F31&gt;0,'Offline Table'!F31,"")</f>
        <v>837158371331</v>
      </c>
      <c r="G34" s="13" t="str">
        <f>IF('Offline Table'!G31&gt;0,'Offline Table'!G31,"")</f>
        <v/>
      </c>
      <c r="H34" s="13" t="str">
        <f>IF('Offline Table'!H31&gt;0,'Offline Table'!H31,"")</f>
        <v/>
      </c>
      <c r="I34" s="13">
        <f>IF('Offline Table'!I31&gt;0,'Offline Table'!I31,"")</f>
        <v>1627807944.2795529</v>
      </c>
      <c r="J34" s="13">
        <f>IF('Offline Table'!J31&gt;0,'Offline Table'!J31,"")</f>
        <v>17449120767.462799</v>
      </c>
      <c r="K34" s="13">
        <f>IF('Offline Table'!K31&gt;0,'Offline Table'!K31,"")</f>
        <v>27431869696.244869</v>
      </c>
      <c r="L34" s="13">
        <f>IF('Offline Table'!L31&gt;0,'Offline Table'!L31,"")</f>
        <v>236346276637.74811</v>
      </c>
      <c r="M34" s="13">
        <f>IF('Offline Table'!M31&gt;0,'Offline Table'!M31,"")</f>
        <v>1348755153831.6294</v>
      </c>
      <c r="N34" s="13">
        <f>IF('Offline Table'!N31&gt;0,'Offline Table'!N31,"")</f>
        <v>536792672063.05408</v>
      </c>
      <c r="O34" s="13" t="str">
        <f>IF('Offline Table'!O31&gt;0,'Offline Table'!O31,"")</f>
        <v/>
      </c>
      <c r="P34" s="13">
        <f>IF('Offline Table'!P31&gt;0,'Offline Table'!P31,"")</f>
        <v>236346276637.74811</v>
      </c>
      <c r="Q34" s="13">
        <f>IF('Offline Table'!Q31&gt;0,'Offline Table'!Q31,"")</f>
        <v>2511475114031.3101</v>
      </c>
      <c r="R34" s="13" t="str">
        <f>IF('Offline Table'!R31&gt;0,'Offline Table'!R31,"")</f>
        <v/>
      </c>
      <c r="S34" s="13" t="str">
        <f>IF('Offline Table'!S31&gt;0,'Offline Table'!S31,"")</f>
        <v/>
      </c>
      <c r="T34" s="13" t="str">
        <f>IF('Offline Table'!T31&gt;0,'Offline Table'!T31,"")</f>
        <v/>
      </c>
      <c r="U34" s="13">
        <f>IF('Offline Table'!U31&gt;0,'Offline Table'!U31,"")</f>
        <v>2009180091.2250481</v>
      </c>
      <c r="V34" s="13" t="str">
        <f>IF('Offline Table'!V31&gt;0,'Offline Table'!V31,"")</f>
        <v/>
      </c>
      <c r="W34" s="13" t="str">
        <f>IF('Offline Table'!W31&gt;0,'Offline Table'!W31,"")</f>
        <v/>
      </c>
      <c r="X34" s="13" t="str">
        <f>IF('Offline Table'!X31&gt;0,'Offline Table'!X31,"")</f>
        <v/>
      </c>
      <c r="Y34" s="9" t="str">
        <f>IFERROR(IF('Offline Table'!Y31&gt;0,'Offline Table'!Y31,""),"")</f>
        <v/>
      </c>
      <c r="Z34" s="13">
        <f>IF('Offline Table'!Z31&gt;0,'Offline Table'!Z31,"")</f>
        <v>2009180091.2250481</v>
      </c>
      <c r="AA34" s="13">
        <f>IF('Offline Table'!AA31&gt;0,'Offline Table'!AA31,"")</f>
        <v>1</v>
      </c>
      <c r="AB34" s="14">
        <f>IF('Offline Table'!AB31&gt;0,'Offline Table'!AB31,"")</f>
        <v>48517978499.212265</v>
      </c>
    </row>
    <row r="35" spans="1:28" x14ac:dyDescent="0.45">
      <c r="A35" s="11">
        <f>'Offline Table'!A32</f>
        <v>30</v>
      </c>
      <c r="B35" s="12">
        <f>'Offline Table'!B32</f>
        <v>30</v>
      </c>
      <c r="C35" s="12">
        <f>'Offline Table'!C32</f>
        <v>69</v>
      </c>
      <c r="D35" s="13">
        <f>IF('Offline Table'!D32&gt;0,'Offline Table'!D32,"")</f>
        <v>60461437930.383392</v>
      </c>
      <c r="E35" s="13">
        <f>IF('Offline Table'!E32&gt;0,'Offline Table'!E32,"")</f>
        <v>261899564354</v>
      </c>
      <c r="F35" s="13">
        <f>IF('Offline Table'!F32&gt;0,'Offline Table'!F32,"")</f>
        <v>1088305882730</v>
      </c>
      <c r="G35" s="13" t="str">
        <f>IF('Offline Table'!G32&gt;0,'Offline Table'!G32,"")</f>
        <v/>
      </c>
      <c r="H35" s="13" t="str">
        <f>IF('Offline Table'!H32&gt;0,'Offline Table'!H32,"")</f>
        <v/>
      </c>
      <c r="I35" s="13">
        <f>IF('Offline Table'!I32&gt;0,'Offline Table'!I32,"")</f>
        <v>2116150327.5634189</v>
      </c>
      <c r="J35" s="13">
        <f>IF('Offline Table'!J32&gt;0,'Offline Table'!J32,"")</f>
        <v>25070788598.227612</v>
      </c>
      <c r="K35" s="13">
        <f>IF('Offline Table'!K32&gt;0,'Offline Table'!K32,"")</f>
        <v>33274499004.592361</v>
      </c>
      <c r="L35" s="13">
        <f>IF('Offline Table'!L32&gt;0,'Offline Table'!L32,"")</f>
        <v>296582853206.57452</v>
      </c>
      <c r="M35" s="13">
        <f>IF('Offline Table'!M32&gt;0,'Offline Table'!M32,"")</f>
        <v>1813843137911.5017</v>
      </c>
      <c r="N35" s="13">
        <f>IF('Offline Table'!N32&gt;0,'Offline Table'!N32,"")</f>
        <v>688244606218.31702</v>
      </c>
      <c r="O35" s="13" t="str">
        <f>IF('Offline Table'!O32&gt;0,'Offline Table'!O32,"")</f>
        <v/>
      </c>
      <c r="P35" s="13">
        <f>IF('Offline Table'!P32&gt;0,'Offline Table'!P32,"")</f>
        <v>296582853206.57452</v>
      </c>
      <c r="Q35" s="13">
        <f>IF('Offline Table'!Q32&gt;0,'Offline Table'!Q32,"")</f>
        <v>3264917648240.7031</v>
      </c>
      <c r="R35" s="13" t="str">
        <f>IF('Offline Table'!R32&gt;0,'Offline Table'!R32,"")</f>
        <v/>
      </c>
      <c r="S35" s="13" t="str">
        <f>IF('Offline Table'!S32&gt;0,'Offline Table'!S32,"")</f>
        <v/>
      </c>
      <c r="T35" s="13" t="str">
        <f>IF('Offline Table'!T32&gt;0,'Offline Table'!T32,"")</f>
        <v/>
      </c>
      <c r="U35" s="13">
        <f>IF('Offline Table'!U32&gt;0,'Offline Table'!U32,"")</f>
        <v>2611934118.5925627</v>
      </c>
      <c r="V35" s="13" t="str">
        <f>IF('Offline Table'!V32&gt;0,'Offline Table'!V32,"")</f>
        <v/>
      </c>
      <c r="W35" s="13" t="str">
        <f>IF('Offline Table'!W32&gt;0,'Offline Table'!W32,"")</f>
        <v/>
      </c>
      <c r="X35" s="13" t="str">
        <f>IF('Offline Table'!X32&gt;0,'Offline Table'!X32,"")</f>
        <v/>
      </c>
      <c r="Y35" s="9" t="str">
        <f>IFERROR(IF('Offline Table'!Y32&gt;0,'Offline Table'!Y32,""),"")</f>
        <v/>
      </c>
      <c r="Z35" s="13">
        <f>IF('Offline Table'!Z32&gt;0,'Offline Table'!Z32,"")</f>
        <v>2611934118.5925627</v>
      </c>
      <c r="AA35" s="13">
        <f>IF('Offline Table'!AA32&gt;0,'Offline Table'!AA32,"")</f>
        <v>1</v>
      </c>
      <c r="AB35" s="14">
        <f>IF('Offline Table'!AB32&gt;0,'Offline Table'!AB32,"")</f>
        <v>63073372048.975952</v>
      </c>
    </row>
  </sheetData>
  <sheetProtection algorithmName="SHA-512" hashValue="tfKjSRHmfLOU2cPkDjtdmiNbpS2BvJxjLA7tOWuu3NdSddB9femPjgtGaigiaZTJ1UBNNbt+/qkxVeyzY/KSeQ==" saltValue="XSyHG18BErsxXzC1DTC0TA==" spinCount="100000" sheet="1" objects="1" scenarios="1"/>
  <mergeCells count="5">
    <mergeCell ref="A1:D3"/>
    <mergeCell ref="E1:Z3"/>
    <mergeCell ref="AA1:AB1"/>
    <mergeCell ref="AA2:AB2"/>
    <mergeCell ref="AA3:AB3"/>
  </mergeCells>
  <pageMargins left="0.25" right="0.25" top="0.75" bottom="0.75" header="0.3" footer="0.3"/>
  <pageSetup paperSize="9" scale="67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C109"/>
  <sheetViews>
    <sheetView rightToLeft="1" topLeftCell="K9" workbookViewId="0">
      <selection activeCell="K9" sqref="A1:XFD1048576"/>
    </sheetView>
  </sheetViews>
  <sheetFormatPr defaultRowHeight="15" x14ac:dyDescent="0.25"/>
  <cols>
    <col min="1" max="1" width="4.42578125" style="39" bestFit="1" customWidth="1"/>
    <col min="2" max="2" width="13.5703125" style="39" bestFit="1" customWidth="1"/>
    <col min="3" max="3" width="12.85546875" style="39" bestFit="1" customWidth="1"/>
    <col min="4" max="4" width="12.85546875" style="39" customWidth="1"/>
    <col min="5" max="5" width="8.28515625" style="39" bestFit="1" customWidth="1"/>
    <col min="6" max="6" width="19.42578125" style="39" customWidth="1"/>
    <col min="7" max="7" width="17.5703125" style="39" customWidth="1"/>
    <col min="8" max="8" width="18.5703125" style="39" customWidth="1"/>
    <col min="9" max="9" width="11.85546875" style="39" bestFit="1" customWidth="1"/>
    <col min="10" max="10" width="9.140625" style="37"/>
    <col min="11" max="12" width="9.140625" style="39"/>
    <col min="13" max="13" width="9.140625" style="37"/>
    <col min="14" max="14" width="23.42578125" style="37" bestFit="1" customWidth="1"/>
    <col min="15" max="15" width="15.7109375" style="37" customWidth="1"/>
    <col min="16" max="16" width="15" style="37" customWidth="1"/>
    <col min="17" max="17" width="14.5703125" style="37" bestFit="1" customWidth="1"/>
    <col min="18" max="18" width="14.7109375" style="37" customWidth="1"/>
    <col min="19" max="19" width="12.7109375" style="37" bestFit="1" customWidth="1"/>
    <col min="20" max="20" width="11.28515625" style="37" bestFit="1" customWidth="1"/>
    <col min="21" max="21" width="6.42578125" style="37" bestFit="1" customWidth="1"/>
    <col min="22" max="22" width="9" style="37" bestFit="1" customWidth="1"/>
    <col min="23" max="26" width="9.140625" style="37"/>
    <col min="27" max="29" width="10.85546875" style="79" customWidth="1"/>
    <col min="30" max="16384" width="9.140625" style="37"/>
  </cols>
  <sheetData>
    <row r="1" spans="1:29" s="61" customFormat="1" ht="47.25" x14ac:dyDescent="0.4">
      <c r="A1" s="58" t="s">
        <v>0</v>
      </c>
      <c r="B1" s="59" t="s">
        <v>1</v>
      </c>
      <c r="C1" s="59" t="s">
        <v>2</v>
      </c>
      <c r="D1" s="59" t="s">
        <v>24</v>
      </c>
      <c r="E1" s="60" t="s">
        <v>3</v>
      </c>
      <c r="F1" s="41" t="s">
        <v>98</v>
      </c>
      <c r="G1" s="41" t="s">
        <v>99</v>
      </c>
      <c r="H1" s="41" t="s">
        <v>100</v>
      </c>
      <c r="I1" s="60" t="s">
        <v>4</v>
      </c>
      <c r="K1" s="60" t="s">
        <v>32</v>
      </c>
      <c r="L1" s="60" t="s">
        <v>33</v>
      </c>
      <c r="N1" s="62" t="s">
        <v>42</v>
      </c>
      <c r="O1" s="63">
        <v>80</v>
      </c>
      <c r="Q1" s="64" t="s">
        <v>49</v>
      </c>
      <c r="R1" s="64" t="s">
        <v>46</v>
      </c>
      <c r="S1" s="64" t="s">
        <v>47</v>
      </c>
      <c r="T1" s="64" t="s">
        <v>48</v>
      </c>
      <c r="U1" s="37"/>
      <c r="V1" s="64" t="s">
        <v>60</v>
      </c>
      <c r="W1" s="64" t="s">
        <v>59</v>
      </c>
      <c r="X1" s="64" t="s">
        <v>67</v>
      </c>
      <c r="Y1" s="65" t="s">
        <v>76</v>
      </c>
      <c r="AA1" s="66" t="s">
        <v>70</v>
      </c>
      <c r="AB1" s="66" t="s">
        <v>71</v>
      </c>
      <c r="AC1" s="66" t="s">
        <v>72</v>
      </c>
    </row>
    <row r="2" spans="1:29" ht="17.25" x14ac:dyDescent="0.25">
      <c r="A2" s="67">
        <v>0</v>
      </c>
      <c r="B2" s="68">
        <v>100000</v>
      </c>
      <c r="C2" s="68">
        <f>B2-B3</f>
        <v>1734</v>
      </c>
      <c r="D2" s="69">
        <v>1.7340000000000022E-2</v>
      </c>
      <c r="E2" s="67">
        <v>450</v>
      </c>
      <c r="F2" s="42"/>
      <c r="G2" s="42"/>
      <c r="H2" s="42"/>
      <c r="I2" s="67">
        <v>1.4999999999999999E-2</v>
      </c>
      <c r="K2" s="67">
        <v>1</v>
      </c>
      <c r="L2" s="70">
        <v>0.9</v>
      </c>
      <c r="N2" s="62" t="s">
        <v>40</v>
      </c>
      <c r="O2" s="63">
        <v>60</v>
      </c>
      <c r="Q2" s="34" t="s">
        <v>50</v>
      </c>
      <c r="R2" s="33">
        <v>200</v>
      </c>
      <c r="S2" s="33">
        <v>200</v>
      </c>
      <c r="T2" s="33">
        <v>200</v>
      </c>
      <c r="V2" s="34" t="s">
        <v>58</v>
      </c>
      <c r="W2" s="33">
        <v>0</v>
      </c>
      <c r="X2" s="33">
        <v>1</v>
      </c>
      <c r="Y2" s="33">
        <v>1</v>
      </c>
      <c r="AA2" s="33">
        <v>0</v>
      </c>
      <c r="AB2" s="33">
        <v>0</v>
      </c>
      <c r="AC2" s="33">
        <v>0</v>
      </c>
    </row>
    <row r="3" spans="1:29" ht="17.25" x14ac:dyDescent="0.25">
      <c r="A3" s="67">
        <f>A2+1</f>
        <v>1</v>
      </c>
      <c r="B3" s="68">
        <v>98266</v>
      </c>
      <c r="C3" s="68">
        <f t="shared" ref="C3:C66" si="0">B3-B4</f>
        <v>122</v>
      </c>
      <c r="D3" s="69">
        <v>1.2415280972055687E-3</v>
      </c>
      <c r="E3" s="67">
        <v>450</v>
      </c>
      <c r="F3" s="42"/>
      <c r="G3" s="42"/>
      <c r="H3" s="42"/>
      <c r="I3" s="67">
        <v>1.4999999999999999E-2</v>
      </c>
      <c r="K3" s="67">
        <v>2</v>
      </c>
      <c r="L3" s="70">
        <v>0.91</v>
      </c>
      <c r="N3" s="62" t="s">
        <v>37</v>
      </c>
      <c r="O3" s="63">
        <v>65</v>
      </c>
      <c r="Q3" s="34" t="s">
        <v>51</v>
      </c>
      <c r="R3" s="33">
        <v>150</v>
      </c>
      <c r="S3" s="33">
        <v>150</v>
      </c>
      <c r="T3" s="33">
        <v>150</v>
      </c>
      <c r="V3" s="34" t="s">
        <v>61</v>
      </c>
      <c r="W3" s="33">
        <v>0.05</v>
      </c>
      <c r="X3" s="33">
        <v>4</v>
      </c>
      <c r="Y3" s="33">
        <v>1</v>
      </c>
      <c r="AA3" s="33">
        <v>1</v>
      </c>
      <c r="AB3" s="33">
        <v>1</v>
      </c>
      <c r="AC3" s="33">
        <v>1</v>
      </c>
    </row>
    <row r="4" spans="1:29" ht="17.25" x14ac:dyDescent="0.25">
      <c r="A4" s="67">
        <f t="shared" ref="A4:A67" si="1">A3+1</f>
        <v>2</v>
      </c>
      <c r="B4" s="68">
        <v>98144</v>
      </c>
      <c r="C4" s="68">
        <f t="shared" si="0"/>
        <v>92</v>
      </c>
      <c r="D4" s="69">
        <v>9.3739810890125508E-4</v>
      </c>
      <c r="E4" s="67">
        <v>450</v>
      </c>
      <c r="F4" s="42">
        <v>296.14029670288971</v>
      </c>
      <c r="G4" s="42">
        <v>350.42169039538442</v>
      </c>
      <c r="H4" s="42">
        <v>424.69409760618174</v>
      </c>
      <c r="I4" s="67">
        <v>1.4999999999999999E-2</v>
      </c>
      <c r="K4" s="67">
        <v>3</v>
      </c>
      <c r="L4" s="70">
        <v>0.92</v>
      </c>
      <c r="N4" s="71" t="s">
        <v>75</v>
      </c>
      <c r="O4" s="72">
        <v>70</v>
      </c>
      <c r="Q4" s="34" t="s">
        <v>52</v>
      </c>
      <c r="R4" s="33">
        <v>50</v>
      </c>
      <c r="S4" s="33">
        <v>50</v>
      </c>
      <c r="T4" s="33">
        <v>0</v>
      </c>
      <c r="V4" s="34" t="s">
        <v>62</v>
      </c>
      <c r="W4" s="33">
        <v>5.8000000000000003E-2</v>
      </c>
      <c r="X4" s="33">
        <v>2</v>
      </c>
      <c r="Y4" s="33">
        <v>1</v>
      </c>
      <c r="AA4" s="33">
        <v>2</v>
      </c>
      <c r="AB4" s="33">
        <v>2</v>
      </c>
      <c r="AC4" s="33">
        <v>2</v>
      </c>
    </row>
    <row r="5" spans="1:29" ht="17.25" x14ac:dyDescent="0.25">
      <c r="A5" s="67">
        <f t="shared" si="1"/>
        <v>3</v>
      </c>
      <c r="B5" s="68">
        <v>98052</v>
      </c>
      <c r="C5" s="68">
        <f t="shared" si="0"/>
        <v>78</v>
      </c>
      <c r="D5" s="69">
        <v>7.9549626728669942E-4</v>
      </c>
      <c r="E5" s="67">
        <v>450</v>
      </c>
      <c r="F5" s="42">
        <v>275.67362139068598</v>
      </c>
      <c r="G5" s="42">
        <v>331.07050456488128</v>
      </c>
      <c r="H5" s="42">
        <v>400.51505082644854</v>
      </c>
      <c r="I5" s="67">
        <v>1.4999999999999999E-2</v>
      </c>
      <c r="K5" s="67">
        <v>4</v>
      </c>
      <c r="L5" s="70">
        <v>0.93</v>
      </c>
      <c r="N5" s="62" t="s">
        <v>27</v>
      </c>
      <c r="O5" s="73">
        <f>IF('ورود اطلاعات'!H20="بانک سامان",Rates!P31,IF('ورود اطلاعات'!H20="پرريسک",Rates!P32,IF('ورود اطلاعات'!H20="رشد1",Rates!P33,IF('ورود اطلاعات'!H20="رشد",Rates!P34,IF('ورود اطلاعات'!H20="کم_ريسک",Rates!P35,IF('ورود اطلاعات'!H20="متوسط_ريسک",Rates!P36,0))))))</f>
        <v>0.12</v>
      </c>
      <c r="Q5" s="34" t="s">
        <v>53</v>
      </c>
      <c r="R5" s="33">
        <v>50</v>
      </c>
      <c r="S5" s="33">
        <v>50</v>
      </c>
      <c r="T5" s="33">
        <v>50</v>
      </c>
      <c r="V5" s="34" t="s">
        <v>63</v>
      </c>
      <c r="W5" s="33">
        <v>7.0000000000000007E-2</v>
      </c>
      <c r="X5" s="33">
        <v>12</v>
      </c>
      <c r="Y5" s="33">
        <v>1</v>
      </c>
      <c r="AA5" s="33">
        <v>3</v>
      </c>
      <c r="AB5" s="33">
        <v>3</v>
      </c>
      <c r="AC5" s="33">
        <v>3</v>
      </c>
    </row>
    <row r="6" spans="1:29" ht="17.25" x14ac:dyDescent="0.25">
      <c r="A6" s="67">
        <f t="shared" si="1"/>
        <v>4</v>
      </c>
      <c r="B6" s="68">
        <v>97974</v>
      </c>
      <c r="C6" s="68">
        <f t="shared" si="0"/>
        <v>71</v>
      </c>
      <c r="D6" s="69">
        <v>7.2468205850528822E-4</v>
      </c>
      <c r="E6" s="67">
        <v>450</v>
      </c>
      <c r="F6" s="42">
        <v>256.76506240750598</v>
      </c>
      <c r="G6" s="42">
        <v>313.24003182115689</v>
      </c>
      <c r="H6" s="42">
        <v>377.2133084158022</v>
      </c>
      <c r="I6" s="67">
        <v>1.4999999999999999E-2</v>
      </c>
      <c r="K6" s="67">
        <v>5</v>
      </c>
      <c r="L6" s="70">
        <v>0.94</v>
      </c>
      <c r="N6" s="62" t="s">
        <v>28</v>
      </c>
      <c r="O6" s="74">
        <f>IF('ورود اطلاعات'!H20="بانک سامان",Rates!O31,IF('ورود اطلاعات'!H20="پرريسک",Rates!O32,IF('ورود اطلاعات'!H20="رشد1",Rates!O33,IF('ورود اطلاعات'!H20="رشد",Rates!O34,IF('ورود اطلاعات'!H20="کم_ريسک",Rates!O35,IF('ورود اطلاعات'!H20="متوسط_ريسک",Rates!O36,0))))))</f>
        <v>0.12</v>
      </c>
      <c r="P6" s="37">
        <f>IF('ورود اطلاعات'!H20="بانک سامان",Rates!P31,IF('ورود اطلاعات'!H20="پر ریسک",Rates!P32,IF('ورود اطلاعات'!H20="رشد1",Rates!P33,IF('ورود اطلاعات'!H20="رشد",Rates!P34,IF('ورود اطلاعات'!H20="کم ریسک",Rates!P35,IF('ورود اطلاعات'!H20="متوسط ریسک",Rates!P36,0))))))</f>
        <v>0</v>
      </c>
      <c r="Q6" s="34" t="s">
        <v>54</v>
      </c>
      <c r="R6" s="33">
        <v>100</v>
      </c>
      <c r="S6" s="33">
        <v>100</v>
      </c>
      <c r="T6" s="33">
        <v>0</v>
      </c>
      <c r="AA6" s="33">
        <v>4</v>
      </c>
      <c r="AB6" s="33">
        <v>4</v>
      </c>
      <c r="AC6" s="33">
        <v>4</v>
      </c>
    </row>
    <row r="7" spans="1:29" ht="17.25" x14ac:dyDescent="0.25">
      <c r="A7" s="67">
        <f t="shared" si="1"/>
        <v>5</v>
      </c>
      <c r="B7" s="68">
        <v>97903</v>
      </c>
      <c r="C7" s="68">
        <f t="shared" si="0"/>
        <v>64</v>
      </c>
      <c r="D7" s="69">
        <v>6.5370826225963352E-4</v>
      </c>
      <c r="E7" s="67">
        <v>450</v>
      </c>
      <c r="F7" s="42">
        <v>239.92545010305986</v>
      </c>
      <c r="G7" s="42">
        <v>297.44217403513733</v>
      </c>
      <c r="H7" s="42">
        <v>357.46000586010518</v>
      </c>
      <c r="I7" s="67">
        <v>1.4999999999999999E-2</v>
      </c>
      <c r="K7" s="67">
        <v>6</v>
      </c>
      <c r="L7" s="70">
        <v>0.95</v>
      </c>
      <c r="N7" s="62" t="s">
        <v>29</v>
      </c>
      <c r="O7" s="74">
        <f>IF('ورود اطلاعات'!H20="بانک سامان",Rates!N31,IF('ورود اطلاعات'!H20="پرريسک",Rates!N32,IF('ورود اطلاعات'!H20="رشد1",Rates!N33,IF('ورود اطلاعات'!H20="رشد",Rates!N34,IF('ورود اطلاعات'!H20="کم_ريسک",Rates!N35,IF('ورود اطلاعات'!H20="متوسط_ريسک",Rates!N36,0))))))</f>
        <v>0.1</v>
      </c>
      <c r="Q7" s="34" t="s">
        <v>55</v>
      </c>
      <c r="R7" s="33">
        <v>100</v>
      </c>
      <c r="S7" s="33">
        <v>100</v>
      </c>
      <c r="T7" s="33">
        <v>100</v>
      </c>
      <c r="AA7" s="33">
        <v>5</v>
      </c>
      <c r="AB7" s="33">
        <v>5</v>
      </c>
      <c r="AC7" s="33">
        <v>5</v>
      </c>
    </row>
    <row r="8" spans="1:29" ht="17.25" x14ac:dyDescent="0.25">
      <c r="A8" s="67">
        <f t="shared" si="1"/>
        <v>6</v>
      </c>
      <c r="B8" s="68">
        <v>97839</v>
      </c>
      <c r="C8" s="68">
        <f t="shared" si="0"/>
        <v>59</v>
      </c>
      <c r="D8" s="69">
        <v>6.0303151095164598E-4</v>
      </c>
      <c r="E8" s="67">
        <v>450</v>
      </c>
      <c r="F8" s="42">
        <v>225.80900309882239</v>
      </c>
      <c r="G8" s="42">
        <v>284.35634781508895</v>
      </c>
      <c r="H8" s="42">
        <v>341.86700064695583</v>
      </c>
      <c r="I8" s="67">
        <v>1.4999999999999999E-2</v>
      </c>
      <c r="K8" s="67">
        <v>7</v>
      </c>
      <c r="L8" s="70">
        <v>0.96</v>
      </c>
      <c r="N8" s="62" t="s">
        <v>77</v>
      </c>
      <c r="O8" s="74">
        <f>IF('ورود اطلاعات'!H20="بانک سامان",Rates!R31,IF('ورود اطلاعات'!H20="پرريسک",Rates!R32,IF('ورود اطلاعات'!H20="رشد1",Rates!R33,IF('ورود اطلاعات'!H20="رشد",Rates!R34,IF('ورود اطلاعات'!H20="کم_ريسک",Rates!R35,IF('ورود اطلاعات'!H20="متوسط_ريسک",Rates!R36,0))))))</f>
        <v>0.20730440402197273</v>
      </c>
      <c r="Q8" s="34" t="s">
        <v>56</v>
      </c>
      <c r="R8" s="33">
        <v>0</v>
      </c>
      <c r="S8" s="33">
        <v>0</v>
      </c>
      <c r="T8" s="33">
        <v>0</v>
      </c>
      <c r="AA8" s="33">
        <v>6</v>
      </c>
      <c r="AB8" s="33">
        <v>6</v>
      </c>
      <c r="AC8" s="33">
        <v>6</v>
      </c>
    </row>
    <row r="9" spans="1:29" ht="17.25" x14ac:dyDescent="0.25">
      <c r="A9" s="67">
        <f t="shared" si="1"/>
        <v>7</v>
      </c>
      <c r="B9" s="68">
        <v>97780</v>
      </c>
      <c r="C9" s="68">
        <f t="shared" si="0"/>
        <v>57</v>
      </c>
      <c r="D9" s="69">
        <v>5.8294129678870821E-4</v>
      </c>
      <c r="E9" s="67">
        <v>450</v>
      </c>
      <c r="F9" s="42">
        <v>214.95714123264995</v>
      </c>
      <c r="G9" s="42">
        <v>274.60806476880271</v>
      </c>
      <c r="H9" s="42">
        <v>331.06894667874508</v>
      </c>
      <c r="I9" s="67">
        <v>1.4999999999999999E-2</v>
      </c>
      <c r="N9" s="62" t="s">
        <v>21</v>
      </c>
      <c r="O9" s="63">
        <v>1E-3</v>
      </c>
      <c r="Q9" s="34" t="s">
        <v>57</v>
      </c>
      <c r="R9" s="33">
        <v>0</v>
      </c>
      <c r="S9" s="33">
        <v>0</v>
      </c>
      <c r="T9" s="33">
        <v>0</v>
      </c>
      <c r="AA9" s="33">
        <v>7</v>
      </c>
      <c r="AB9" s="33">
        <v>7</v>
      </c>
      <c r="AC9" s="33">
        <v>7</v>
      </c>
    </row>
    <row r="10" spans="1:29" ht="15.75" x14ac:dyDescent="0.25">
      <c r="A10" s="67">
        <f t="shared" si="1"/>
        <v>8</v>
      </c>
      <c r="B10" s="68">
        <v>97723</v>
      </c>
      <c r="C10" s="68">
        <f t="shared" si="0"/>
        <v>53</v>
      </c>
      <c r="D10" s="69">
        <v>5.4234929341101523E-4</v>
      </c>
      <c r="E10" s="67">
        <v>450</v>
      </c>
      <c r="F10" s="42">
        <v>207.61499900933967</v>
      </c>
      <c r="G10" s="42">
        <v>268.59315204801601</v>
      </c>
      <c r="H10" s="42">
        <v>325.55886348416908</v>
      </c>
      <c r="I10" s="67">
        <v>1.4999999999999999E-2</v>
      </c>
      <c r="N10" s="62" t="s">
        <v>22</v>
      </c>
      <c r="O10" s="63">
        <v>3.5000000000000003E-2</v>
      </c>
      <c r="AA10" s="33">
        <v>8</v>
      </c>
      <c r="AB10" s="33">
        <v>8</v>
      </c>
      <c r="AC10" s="33">
        <v>8</v>
      </c>
    </row>
    <row r="11" spans="1:29" ht="15.75" x14ac:dyDescent="0.25">
      <c r="A11" s="67">
        <f t="shared" si="1"/>
        <v>9</v>
      </c>
      <c r="B11" s="68">
        <v>97670</v>
      </c>
      <c r="C11" s="68">
        <f t="shared" si="0"/>
        <v>52</v>
      </c>
      <c r="D11" s="69">
        <v>5.3240503737073119E-4</v>
      </c>
      <c r="E11" s="67">
        <v>450</v>
      </c>
      <c r="F11" s="42">
        <v>203.60483394938666</v>
      </c>
      <c r="G11" s="42">
        <v>266.33604445508007</v>
      </c>
      <c r="H11" s="42">
        <v>325.53095469188349</v>
      </c>
      <c r="I11" s="67">
        <v>1.4999999999999999E-2</v>
      </c>
      <c r="N11" s="62" t="s">
        <v>97</v>
      </c>
      <c r="O11" s="63">
        <v>65</v>
      </c>
      <c r="AA11" s="33">
        <v>9</v>
      </c>
      <c r="AB11" s="33">
        <v>9</v>
      </c>
      <c r="AC11" s="33">
        <v>9</v>
      </c>
    </row>
    <row r="12" spans="1:29" x14ac:dyDescent="0.25">
      <c r="A12" s="67">
        <f t="shared" si="1"/>
        <v>10</v>
      </c>
      <c r="B12" s="68">
        <v>97618</v>
      </c>
      <c r="C12" s="68">
        <f t="shared" si="0"/>
        <v>52</v>
      </c>
      <c r="D12" s="69">
        <v>5.3268864348787748E-4</v>
      </c>
      <c r="E12" s="67">
        <v>450</v>
      </c>
      <c r="F12" s="42">
        <v>202.7330961443617</v>
      </c>
      <c r="G12" s="42">
        <v>267.86345764588401</v>
      </c>
      <c r="H12" s="42">
        <v>331.20674251333634</v>
      </c>
      <c r="I12" s="67">
        <v>1.4999999999999999E-2</v>
      </c>
      <c r="AA12" s="33"/>
      <c r="AB12" s="33"/>
      <c r="AC12" s="33">
        <v>10</v>
      </c>
    </row>
    <row r="13" spans="1:29" x14ac:dyDescent="0.25">
      <c r="A13" s="67">
        <f t="shared" si="1"/>
        <v>11</v>
      </c>
      <c r="B13" s="68">
        <v>97566</v>
      </c>
      <c r="C13" s="68">
        <f t="shared" si="0"/>
        <v>52</v>
      </c>
      <c r="D13" s="69">
        <v>5.3297255191353532E-4</v>
      </c>
      <c r="E13" s="67">
        <v>450</v>
      </c>
      <c r="F13" s="42">
        <v>205.02955185048</v>
      </c>
      <c r="G13" s="42">
        <v>273.39728407519516</v>
      </c>
      <c r="H13" s="42">
        <v>342.9509233676888</v>
      </c>
      <c r="I13" s="67">
        <v>1.4999999999999999E-2</v>
      </c>
      <c r="N13" s="33" t="s">
        <v>86</v>
      </c>
      <c r="O13" s="33">
        <v>1393</v>
      </c>
      <c r="P13" s="33">
        <v>1394</v>
      </c>
      <c r="Q13" s="33">
        <v>1395</v>
      </c>
      <c r="R13" s="33">
        <v>1396</v>
      </c>
      <c r="S13" s="33">
        <v>1397</v>
      </c>
      <c r="T13" s="33">
        <v>1398</v>
      </c>
      <c r="U13" s="33">
        <v>1399</v>
      </c>
      <c r="V13" s="33">
        <v>1400</v>
      </c>
      <c r="W13" s="35">
        <v>1401</v>
      </c>
      <c r="AA13" s="33"/>
      <c r="AB13" s="33"/>
      <c r="AC13" s="33">
        <v>11</v>
      </c>
    </row>
    <row r="14" spans="1:29" ht="17.25" x14ac:dyDescent="0.25">
      <c r="A14" s="67">
        <f t="shared" si="1"/>
        <v>12</v>
      </c>
      <c r="B14" s="68">
        <v>97514</v>
      </c>
      <c r="C14" s="68">
        <f t="shared" si="0"/>
        <v>52</v>
      </c>
      <c r="D14" s="69">
        <v>5.3325676313142889E-4</v>
      </c>
      <c r="E14" s="67">
        <v>450</v>
      </c>
      <c r="F14" s="42">
        <v>209.73586377034135</v>
      </c>
      <c r="G14" s="42">
        <v>282.29127061203133</v>
      </c>
      <c r="H14" s="42">
        <v>360.11274936807729</v>
      </c>
      <c r="I14" s="67">
        <v>1.4999999999999999E-2</v>
      </c>
      <c r="N14" s="34"/>
      <c r="O14" s="33"/>
      <c r="P14" s="33"/>
      <c r="Q14" s="33"/>
      <c r="R14" s="33"/>
      <c r="S14" s="33"/>
      <c r="T14" s="33"/>
      <c r="U14" s="35"/>
      <c r="V14" s="33"/>
      <c r="W14" s="35"/>
      <c r="AA14" s="33"/>
      <c r="AB14" s="33"/>
      <c r="AC14" s="33">
        <v>12</v>
      </c>
    </row>
    <row r="15" spans="1:29" ht="18" x14ac:dyDescent="0.25">
      <c r="A15" s="67">
        <f t="shared" si="1"/>
        <v>13</v>
      </c>
      <c r="B15" s="68">
        <v>97462</v>
      </c>
      <c r="C15" s="68">
        <f t="shared" si="0"/>
        <v>56</v>
      </c>
      <c r="D15" s="69">
        <v>5.7458291436662812E-4</v>
      </c>
      <c r="E15" s="67">
        <v>450</v>
      </c>
      <c r="F15" s="42">
        <v>216.72277221737477</v>
      </c>
      <c r="G15" s="42">
        <v>294.40034979129126</v>
      </c>
      <c r="H15" s="42">
        <v>382.2986325655022</v>
      </c>
      <c r="I15" s="67">
        <v>1.4999999999999999E-2</v>
      </c>
      <c r="N15" s="44" t="s">
        <v>103</v>
      </c>
      <c r="O15" s="33"/>
      <c r="P15" s="33"/>
      <c r="Q15" s="36">
        <f>$O24+0.85*(Q24-$O24)</f>
        <v>0.20074999999999998</v>
      </c>
      <c r="R15" s="36">
        <f t="shared" ref="R15:U15" si="2">$O24+0.85*(R24-$O24)</f>
        <v>0.19224999999999998</v>
      </c>
      <c r="S15" s="36">
        <f t="shared" si="2"/>
        <v>0.20500000000000002</v>
      </c>
      <c r="T15" s="36">
        <f t="shared" si="2"/>
        <v>0.21350000000000002</v>
      </c>
      <c r="U15" s="36">
        <f t="shared" si="2"/>
        <v>0.2475</v>
      </c>
      <c r="V15" s="36">
        <f t="shared" ref="V15:W15" si="3">$O24+0.85*(V24-$O24)</f>
        <v>0.188</v>
      </c>
      <c r="W15" s="45">
        <f t="shared" si="3"/>
        <v>0.188</v>
      </c>
      <c r="AA15" s="33"/>
      <c r="AB15" s="33"/>
      <c r="AC15" s="33">
        <v>13</v>
      </c>
    </row>
    <row r="16" spans="1:29" ht="18" x14ac:dyDescent="0.25">
      <c r="A16" s="67">
        <f t="shared" si="1"/>
        <v>14</v>
      </c>
      <c r="B16" s="68">
        <v>97406</v>
      </c>
      <c r="C16" s="68">
        <f t="shared" si="0"/>
        <v>58</v>
      </c>
      <c r="D16" s="69">
        <v>5.9544586575777103E-4</v>
      </c>
      <c r="E16" s="67">
        <v>450</v>
      </c>
      <c r="F16" s="42">
        <v>226.05497023776653</v>
      </c>
      <c r="G16" s="42">
        <v>309.61475083767147</v>
      </c>
      <c r="H16" s="42">
        <v>408.83943218752898</v>
      </c>
      <c r="I16" s="67">
        <v>1.4999999999999999E-2</v>
      </c>
      <c r="N16" s="44" t="s">
        <v>104</v>
      </c>
      <c r="O16" s="33"/>
      <c r="P16" s="33"/>
      <c r="Q16" s="36" t="s">
        <v>93</v>
      </c>
      <c r="R16" s="36">
        <f t="shared" ref="Q16:U19" si="4">$O25+0.85*(R25-$O25)</f>
        <v>0.22525000000000001</v>
      </c>
      <c r="S16" s="36">
        <f t="shared" si="4"/>
        <v>0.26774999999999999</v>
      </c>
      <c r="T16" s="36">
        <f t="shared" si="4"/>
        <v>0.39524999999999999</v>
      </c>
      <c r="U16" s="36">
        <f t="shared" si="4"/>
        <v>0.50574999999999992</v>
      </c>
      <c r="V16" s="36">
        <f t="shared" ref="V16:W16" si="5">$O25+0.85*(V25-$O25)</f>
        <v>0.28475</v>
      </c>
      <c r="W16" s="45">
        <f t="shared" si="5"/>
        <v>0.28475</v>
      </c>
      <c r="AA16" s="33"/>
      <c r="AB16" s="33"/>
      <c r="AC16" s="33">
        <v>14</v>
      </c>
    </row>
    <row r="17" spans="1:29" ht="18" x14ac:dyDescent="0.25">
      <c r="A17" s="67">
        <f t="shared" si="1"/>
        <v>15</v>
      </c>
      <c r="B17" s="68">
        <v>97348</v>
      </c>
      <c r="C17" s="68">
        <f t="shared" si="0"/>
        <v>64</v>
      </c>
      <c r="D17" s="69">
        <v>6.5743518100014331E-4</v>
      </c>
      <c r="E17" s="67">
        <v>450</v>
      </c>
      <c r="F17" s="42">
        <v>238.23494066022647</v>
      </c>
      <c r="G17" s="42">
        <v>327.45613357861487</v>
      </c>
      <c r="H17" s="42">
        <v>438.39139278314553</v>
      </c>
      <c r="I17" s="67">
        <v>1.4999999999999999E-2</v>
      </c>
      <c r="N17" s="44" t="s">
        <v>87</v>
      </c>
      <c r="O17" s="33"/>
      <c r="P17" s="33"/>
      <c r="Q17" s="36">
        <f t="shared" si="4"/>
        <v>0.21475</v>
      </c>
      <c r="R17" s="36">
        <f t="shared" si="4"/>
        <v>0.21050000000000002</v>
      </c>
      <c r="S17" s="36">
        <f t="shared" si="4"/>
        <v>0.22750000000000001</v>
      </c>
      <c r="T17" s="36">
        <f t="shared" si="4"/>
        <v>0.26149999999999995</v>
      </c>
      <c r="U17" s="36">
        <f t="shared" si="4"/>
        <v>0.27</v>
      </c>
      <c r="V17" s="36">
        <f t="shared" ref="V17:W17" si="6">$O26+0.85*(V26-$O26)</f>
        <v>0.19350000000000001</v>
      </c>
      <c r="W17" s="45">
        <f t="shared" si="6"/>
        <v>0.19350000000000001</v>
      </c>
      <c r="AA17" s="33"/>
      <c r="AB17" s="33"/>
      <c r="AC17" s="33">
        <v>15</v>
      </c>
    </row>
    <row r="18" spans="1:29" ht="18" x14ac:dyDescent="0.25">
      <c r="A18" s="67">
        <f t="shared" si="1"/>
        <v>16</v>
      </c>
      <c r="B18" s="68">
        <v>97284</v>
      </c>
      <c r="C18" s="68">
        <f t="shared" si="0"/>
        <v>68</v>
      </c>
      <c r="D18" s="69">
        <v>6.9898441675919631E-4</v>
      </c>
      <c r="E18" s="67">
        <v>450</v>
      </c>
      <c r="F18" s="42">
        <v>253.11471797998757</v>
      </c>
      <c r="G18" s="42">
        <v>347.74942252921505</v>
      </c>
      <c r="H18" s="42">
        <v>469.73527304155635</v>
      </c>
      <c r="I18" s="67">
        <v>1.4999999999999999E-2</v>
      </c>
      <c r="N18" s="44" t="s">
        <v>105</v>
      </c>
      <c r="O18" s="33"/>
      <c r="P18" s="33"/>
      <c r="Q18" s="36">
        <f t="shared" si="4"/>
        <v>0.16700000000000001</v>
      </c>
      <c r="R18" s="36">
        <f t="shared" si="4"/>
        <v>0.16275000000000001</v>
      </c>
      <c r="S18" s="36">
        <f t="shared" si="4"/>
        <v>0.16700000000000001</v>
      </c>
      <c r="T18" s="36">
        <f t="shared" si="4"/>
        <v>0.16700000000000001</v>
      </c>
      <c r="U18" s="36">
        <f t="shared" si="4"/>
        <v>0.17549999999999999</v>
      </c>
      <c r="V18" s="36">
        <f>$O27+0.85*(V27-$O27)</f>
        <v>0.1585</v>
      </c>
      <c r="W18" s="45">
        <f>$O27+0.85*(W27-$O27)</f>
        <v>0.1585</v>
      </c>
      <c r="AA18" s="33"/>
      <c r="AB18" s="33"/>
      <c r="AC18" s="33">
        <v>16</v>
      </c>
    </row>
    <row r="19" spans="1:29" ht="18" x14ac:dyDescent="0.25">
      <c r="A19" s="67">
        <f t="shared" si="1"/>
        <v>17</v>
      </c>
      <c r="B19" s="68">
        <v>97216</v>
      </c>
      <c r="C19" s="68">
        <f t="shared" si="0"/>
        <v>74</v>
      </c>
      <c r="D19" s="69">
        <v>7.6119157340359678E-4</v>
      </c>
      <c r="E19" s="67">
        <v>450</v>
      </c>
      <c r="F19" s="42">
        <v>271.24016620489363</v>
      </c>
      <c r="G19" s="42">
        <v>370.66542684727949</v>
      </c>
      <c r="H19" s="42">
        <v>502.12592693997823</v>
      </c>
      <c r="I19" s="67">
        <v>1.4999999999999999E-2</v>
      </c>
      <c r="N19" s="44" t="s">
        <v>106</v>
      </c>
      <c r="O19" s="33"/>
      <c r="P19" s="33"/>
      <c r="Q19" s="36">
        <f t="shared" si="4"/>
        <v>0.17399999999999999</v>
      </c>
      <c r="R19" s="36">
        <f t="shared" si="4"/>
        <v>0.16550000000000001</v>
      </c>
      <c r="S19" s="36">
        <f t="shared" si="4"/>
        <v>0.17399999999999999</v>
      </c>
      <c r="T19" s="36">
        <f t="shared" si="4"/>
        <v>0.1825</v>
      </c>
      <c r="U19" s="36">
        <f t="shared" si="4"/>
        <v>0.191</v>
      </c>
      <c r="V19" s="36">
        <f t="shared" ref="V19:W19" si="7">$O28+0.85*(V28-$O28)</f>
        <v>0.157</v>
      </c>
      <c r="W19" s="45">
        <f t="shared" si="7"/>
        <v>0.157</v>
      </c>
      <c r="AA19" s="33"/>
      <c r="AB19" s="33"/>
      <c r="AC19" s="33">
        <v>17</v>
      </c>
    </row>
    <row r="20" spans="1:29" x14ac:dyDescent="0.25">
      <c r="A20" s="67">
        <f t="shared" si="1"/>
        <v>18</v>
      </c>
      <c r="B20" s="68">
        <v>97142</v>
      </c>
      <c r="C20" s="68">
        <f t="shared" si="0"/>
        <v>79</v>
      </c>
      <c r="D20" s="69">
        <v>8.1324246978653481E-4</v>
      </c>
      <c r="E20" s="67">
        <v>450</v>
      </c>
      <c r="F20" s="42">
        <v>452.74526381601692</v>
      </c>
      <c r="G20" s="42">
        <v>601.85381143364987</v>
      </c>
      <c r="H20" s="42">
        <v>869.48961871590166</v>
      </c>
      <c r="I20" s="67">
        <v>1.4999999999999999E-2</v>
      </c>
      <c r="O20" s="38"/>
      <c r="P20" s="38"/>
      <c r="Q20" s="38"/>
      <c r="R20" s="38"/>
      <c r="S20" s="38"/>
      <c r="T20" s="38"/>
      <c r="U20" s="39"/>
      <c r="V20" s="39"/>
      <c r="W20" s="46"/>
      <c r="AA20" s="33"/>
      <c r="AB20" s="33"/>
      <c r="AC20" s="33">
        <v>18</v>
      </c>
    </row>
    <row r="21" spans="1:29" x14ac:dyDescent="0.25">
      <c r="A21" s="67">
        <f t="shared" si="1"/>
        <v>19</v>
      </c>
      <c r="B21" s="68">
        <v>97063</v>
      </c>
      <c r="C21" s="68">
        <f t="shared" si="0"/>
        <v>85</v>
      </c>
      <c r="D21" s="69">
        <v>8.7571989326518107E-4</v>
      </c>
      <c r="E21" s="67">
        <v>450</v>
      </c>
      <c r="F21" s="42">
        <v>489.63903865696591</v>
      </c>
      <c r="G21" s="42">
        <v>643.96906700532656</v>
      </c>
      <c r="H21" s="42">
        <v>917.62984400271387</v>
      </c>
      <c r="I21" s="67">
        <v>1.4999999999999999E-2</v>
      </c>
      <c r="O21" s="39"/>
      <c r="P21" s="39"/>
      <c r="Q21" s="39"/>
      <c r="R21" s="39"/>
      <c r="S21" s="39"/>
      <c r="T21" s="39"/>
      <c r="U21" s="39"/>
      <c r="V21" s="39"/>
      <c r="W21" s="46"/>
      <c r="AA21" s="33"/>
      <c r="AB21" s="33"/>
      <c r="AC21" s="33">
        <v>19</v>
      </c>
    </row>
    <row r="22" spans="1:29" x14ac:dyDescent="0.25">
      <c r="A22" s="67">
        <f t="shared" si="1"/>
        <v>20</v>
      </c>
      <c r="B22" s="68">
        <v>96978</v>
      </c>
      <c r="C22" s="68">
        <f t="shared" si="0"/>
        <v>90</v>
      </c>
      <c r="D22" s="69">
        <v>9.2804553610092988E-4</v>
      </c>
      <c r="E22" s="67">
        <v>450</v>
      </c>
      <c r="F22" s="42">
        <v>528.73865985090163</v>
      </c>
      <c r="G22" s="42">
        <v>687.21781374857915</v>
      </c>
      <c r="H22" s="42">
        <v>962.21773355567768</v>
      </c>
      <c r="I22" s="67">
        <v>1.4999999999999999E-2</v>
      </c>
      <c r="N22" s="128" t="s">
        <v>94</v>
      </c>
      <c r="O22" s="129" t="s">
        <v>95</v>
      </c>
      <c r="P22" s="130" t="s">
        <v>96</v>
      </c>
      <c r="Q22" s="130"/>
      <c r="R22" s="130"/>
      <c r="S22" s="130"/>
      <c r="T22" s="130"/>
      <c r="U22" s="130"/>
      <c r="V22" s="40"/>
      <c r="W22" s="47"/>
      <c r="AA22" s="33"/>
      <c r="AB22" s="33"/>
      <c r="AC22" s="33">
        <v>20</v>
      </c>
    </row>
    <row r="23" spans="1:29" x14ac:dyDescent="0.25">
      <c r="A23" s="67">
        <f t="shared" si="1"/>
        <v>21</v>
      </c>
      <c r="B23" s="68">
        <v>96888</v>
      </c>
      <c r="C23" s="68">
        <f t="shared" si="0"/>
        <v>96</v>
      </c>
      <c r="D23" s="69">
        <v>9.9083477830075317E-4</v>
      </c>
      <c r="E23" s="67">
        <v>450</v>
      </c>
      <c r="F23" s="42">
        <v>581.71750020035972</v>
      </c>
      <c r="G23" s="42">
        <v>743.11521526232093</v>
      </c>
      <c r="H23" s="42">
        <v>1017.765831221544</v>
      </c>
      <c r="I23" s="67">
        <v>1.4999999999999999E-2</v>
      </c>
      <c r="N23" s="128"/>
      <c r="O23" s="129"/>
      <c r="P23" s="33">
        <v>1394</v>
      </c>
      <c r="Q23" s="33">
        <v>1395</v>
      </c>
      <c r="R23" s="33">
        <v>1396</v>
      </c>
      <c r="S23" s="33">
        <v>1397</v>
      </c>
      <c r="T23" s="33">
        <v>1398</v>
      </c>
      <c r="U23" s="33">
        <v>1399</v>
      </c>
      <c r="V23" s="33">
        <v>1400</v>
      </c>
      <c r="W23" s="35">
        <v>1401</v>
      </c>
      <c r="AA23" s="33"/>
      <c r="AB23" s="33"/>
      <c r="AC23" s="33">
        <v>21</v>
      </c>
    </row>
    <row r="24" spans="1:29" ht="18" x14ac:dyDescent="0.25">
      <c r="A24" s="67">
        <f t="shared" si="1"/>
        <v>22</v>
      </c>
      <c r="B24" s="68">
        <v>96792</v>
      </c>
      <c r="C24" s="68">
        <f t="shared" si="0"/>
        <v>101</v>
      </c>
      <c r="D24" s="69">
        <v>1.0434746673279038E-3</v>
      </c>
      <c r="E24" s="67">
        <v>450</v>
      </c>
      <c r="F24" s="42">
        <v>637.06817271330885</v>
      </c>
      <c r="G24" s="42">
        <v>800.13199082364338</v>
      </c>
      <c r="H24" s="42">
        <v>1073.89093535854</v>
      </c>
      <c r="I24" s="67">
        <v>1.4999999999999999E-2</v>
      </c>
      <c r="N24" s="44" t="s">
        <v>103</v>
      </c>
      <c r="O24" s="36">
        <v>0.12</v>
      </c>
      <c r="P24" s="36">
        <v>0.23</v>
      </c>
      <c r="Q24" s="36">
        <v>0.215</v>
      </c>
      <c r="R24" s="36">
        <v>0.20499999999999999</v>
      </c>
      <c r="S24" s="36">
        <v>0.22</v>
      </c>
      <c r="T24" s="36">
        <v>0.23</v>
      </c>
      <c r="U24" s="36">
        <v>0.27</v>
      </c>
      <c r="V24" s="36">
        <v>0.2</v>
      </c>
      <c r="W24" s="45">
        <v>0.2</v>
      </c>
      <c r="AA24" s="33"/>
      <c r="AB24" s="33"/>
      <c r="AC24" s="33">
        <v>22</v>
      </c>
    </row>
    <row r="25" spans="1:29" ht="18" x14ac:dyDescent="0.25">
      <c r="A25" s="67">
        <f t="shared" si="1"/>
        <v>23</v>
      </c>
      <c r="B25" s="68">
        <v>96691</v>
      </c>
      <c r="C25" s="68">
        <f t="shared" si="0"/>
        <v>105</v>
      </c>
      <c r="D25" s="69">
        <v>1.0859335408672788E-3</v>
      </c>
      <c r="E25" s="67">
        <v>450</v>
      </c>
      <c r="F25" s="42">
        <v>703.51810973034685</v>
      </c>
      <c r="G25" s="42">
        <v>867.04451661739597</v>
      </c>
      <c r="H25" s="42">
        <v>1135.7231163409447</v>
      </c>
      <c r="I25" s="67">
        <v>1.4999999999999999E-2</v>
      </c>
      <c r="N25" s="44" t="s">
        <v>104</v>
      </c>
      <c r="O25" s="36">
        <v>8.5000000000000006E-2</v>
      </c>
      <c r="P25" s="36"/>
      <c r="Q25" s="36"/>
      <c r="R25" s="36">
        <v>0.25</v>
      </c>
      <c r="S25" s="36">
        <v>0.3</v>
      </c>
      <c r="T25" s="36">
        <v>0.45</v>
      </c>
      <c r="U25" s="36">
        <v>0.57999999999999996</v>
      </c>
      <c r="V25" s="36">
        <v>0.32</v>
      </c>
      <c r="W25" s="45">
        <v>0.32</v>
      </c>
      <c r="AA25" s="33"/>
      <c r="AB25" s="33"/>
      <c r="AC25" s="33">
        <v>23</v>
      </c>
    </row>
    <row r="26" spans="1:29" ht="18" x14ac:dyDescent="0.25">
      <c r="A26" s="67">
        <f t="shared" si="1"/>
        <v>24</v>
      </c>
      <c r="B26" s="68">
        <v>96586</v>
      </c>
      <c r="C26" s="68">
        <f t="shared" si="0"/>
        <v>109</v>
      </c>
      <c r="D26" s="69">
        <v>1.1285279440084173E-3</v>
      </c>
      <c r="E26" s="67">
        <v>450</v>
      </c>
      <c r="F26" s="42">
        <v>775.46666665346129</v>
      </c>
      <c r="G26" s="42">
        <v>938.32406325724708</v>
      </c>
      <c r="H26" s="42">
        <v>1202.3848127401973</v>
      </c>
      <c r="I26" s="67">
        <v>1.4999999999999999E-2</v>
      </c>
      <c r="N26" s="44" t="s">
        <v>87</v>
      </c>
      <c r="O26" s="36">
        <v>0.1</v>
      </c>
      <c r="P26" s="36">
        <v>0.23499999999999999</v>
      </c>
      <c r="Q26" s="36">
        <v>0.23499999999999999</v>
      </c>
      <c r="R26" s="36">
        <v>0.23</v>
      </c>
      <c r="S26" s="36">
        <v>0.25</v>
      </c>
      <c r="T26" s="36">
        <v>0.28999999999999998</v>
      </c>
      <c r="U26" s="36">
        <v>0.3</v>
      </c>
      <c r="V26" s="36">
        <v>0.21</v>
      </c>
      <c r="W26" s="45">
        <v>0.21</v>
      </c>
      <c r="AA26" s="33"/>
      <c r="AB26" s="33"/>
      <c r="AC26" s="33">
        <v>24</v>
      </c>
    </row>
    <row r="27" spans="1:29" ht="18" x14ac:dyDescent="0.25">
      <c r="A27" s="67">
        <f t="shared" si="1"/>
        <v>25</v>
      </c>
      <c r="B27" s="68">
        <v>96477</v>
      </c>
      <c r="C27" s="68">
        <f t="shared" si="0"/>
        <v>114</v>
      </c>
      <c r="D27" s="69">
        <v>1.1816287819894633E-3</v>
      </c>
      <c r="E27" s="67">
        <v>450</v>
      </c>
      <c r="F27" s="42">
        <v>850.70533929131841</v>
      </c>
      <c r="G27" s="42">
        <v>1011.8461227979911</v>
      </c>
      <c r="H27" s="42">
        <v>1270.4486272299625</v>
      </c>
      <c r="I27" s="67">
        <v>1.4999999999999999E-2</v>
      </c>
      <c r="N27" s="44" t="s">
        <v>105</v>
      </c>
      <c r="O27" s="36">
        <v>0.15</v>
      </c>
      <c r="P27" s="36">
        <v>0.17</v>
      </c>
      <c r="Q27" s="36">
        <v>0.17</v>
      </c>
      <c r="R27" s="36">
        <v>0.16500000000000001</v>
      </c>
      <c r="S27" s="36">
        <v>0.17</v>
      </c>
      <c r="T27" s="36">
        <v>0.17</v>
      </c>
      <c r="U27" s="36">
        <v>0.18</v>
      </c>
      <c r="V27" s="36">
        <v>0.16</v>
      </c>
      <c r="W27" s="45">
        <v>0.16</v>
      </c>
      <c r="AA27" s="33"/>
      <c r="AB27" s="33"/>
      <c r="AC27" s="33">
        <v>25</v>
      </c>
    </row>
    <row r="28" spans="1:29" ht="18" x14ac:dyDescent="0.25">
      <c r="A28" s="67">
        <f t="shared" si="1"/>
        <v>26</v>
      </c>
      <c r="B28" s="68">
        <v>96363</v>
      </c>
      <c r="C28" s="68">
        <f t="shared" si="0"/>
        <v>115</v>
      </c>
      <c r="D28" s="69">
        <v>1.1934041073856649E-3</v>
      </c>
      <c r="E28" s="67">
        <v>570</v>
      </c>
      <c r="F28" s="42">
        <v>926.50935366276133</v>
      </c>
      <c r="G28" s="42">
        <v>1084.9886431998352</v>
      </c>
      <c r="H28" s="42">
        <v>1340.2144158948486</v>
      </c>
      <c r="I28" s="67">
        <v>1.4999999999999999E-2</v>
      </c>
      <c r="N28" s="44" t="s">
        <v>106</v>
      </c>
      <c r="O28" s="36">
        <v>0.14000000000000001</v>
      </c>
      <c r="P28" s="36">
        <v>0.18</v>
      </c>
      <c r="Q28" s="36">
        <v>0.18</v>
      </c>
      <c r="R28" s="36">
        <v>0.17</v>
      </c>
      <c r="S28" s="36">
        <v>0.18</v>
      </c>
      <c r="T28" s="36">
        <v>0.19</v>
      </c>
      <c r="U28" s="36">
        <v>0.2</v>
      </c>
      <c r="V28" s="36">
        <v>0.16</v>
      </c>
      <c r="W28" s="45">
        <v>0.16</v>
      </c>
      <c r="AA28" s="33"/>
      <c r="AB28" s="33"/>
      <c r="AC28" s="33">
        <v>26</v>
      </c>
    </row>
    <row r="29" spans="1:29" x14ac:dyDescent="0.25">
      <c r="A29" s="67">
        <f t="shared" si="1"/>
        <v>27</v>
      </c>
      <c r="B29" s="68">
        <v>96248</v>
      </c>
      <c r="C29" s="68">
        <f t="shared" si="0"/>
        <v>118</v>
      </c>
      <c r="D29" s="69">
        <v>1.2259995012883218E-3</v>
      </c>
      <c r="E29" s="67">
        <v>570</v>
      </c>
      <c r="F29" s="42">
        <v>1007.0318020420412</v>
      </c>
      <c r="G29" s="42">
        <v>1164.9513501437295</v>
      </c>
      <c r="H29" s="42">
        <v>1419.4660775046057</v>
      </c>
      <c r="I29" s="67">
        <v>1.4999999999999999E-2</v>
      </c>
      <c r="AA29" s="33"/>
      <c r="AB29" s="33"/>
      <c r="AC29" s="33">
        <v>27</v>
      </c>
    </row>
    <row r="30" spans="1:29" ht="17.25" x14ac:dyDescent="0.25">
      <c r="A30" s="67">
        <f t="shared" si="1"/>
        <v>28</v>
      </c>
      <c r="B30" s="68">
        <v>96130</v>
      </c>
      <c r="C30" s="68">
        <f t="shared" si="0"/>
        <v>122</v>
      </c>
      <c r="D30" s="69">
        <v>1.2691147404556569E-3</v>
      </c>
      <c r="E30" s="67">
        <v>570</v>
      </c>
      <c r="F30" s="42">
        <v>1089.8887209729949</v>
      </c>
      <c r="G30" s="42">
        <v>1247.6036431062992</v>
      </c>
      <c r="H30" s="42">
        <v>1503.3799361576159</v>
      </c>
      <c r="I30" s="67">
        <v>1.4999999999999999E-2</v>
      </c>
      <c r="N30" s="64" t="s">
        <v>88</v>
      </c>
      <c r="O30" s="64" t="s">
        <v>89</v>
      </c>
      <c r="P30" s="64" t="s">
        <v>90</v>
      </c>
      <c r="Q30" s="64" t="s">
        <v>85</v>
      </c>
      <c r="R30" s="75" t="s">
        <v>91</v>
      </c>
      <c r="AA30" s="33"/>
      <c r="AB30" s="33"/>
      <c r="AC30" s="33">
        <v>28</v>
      </c>
    </row>
    <row r="31" spans="1:29" ht="17.25" x14ac:dyDescent="0.25">
      <c r="A31" s="67">
        <f t="shared" si="1"/>
        <v>29</v>
      </c>
      <c r="B31" s="68">
        <v>96008</v>
      </c>
      <c r="C31" s="68">
        <f t="shared" si="0"/>
        <v>124</v>
      </c>
      <c r="D31" s="69">
        <v>1.2915590367469365E-3</v>
      </c>
      <c r="E31" s="67">
        <v>570</v>
      </c>
      <c r="F31" s="42">
        <v>1181.3541825039079</v>
      </c>
      <c r="G31" s="42">
        <v>1338.5138649395826</v>
      </c>
      <c r="H31" s="42">
        <v>1596.6776982062736</v>
      </c>
      <c r="I31" s="67">
        <v>1.4999999999999999E-2</v>
      </c>
      <c r="N31" s="33"/>
      <c r="O31" s="33"/>
      <c r="P31" s="33"/>
      <c r="Q31" s="34"/>
      <c r="R31" s="76"/>
      <c r="AA31" s="33"/>
      <c r="AB31" s="33"/>
      <c r="AC31" s="33">
        <v>29</v>
      </c>
    </row>
    <row r="32" spans="1:29" ht="18" x14ac:dyDescent="0.25">
      <c r="A32" s="67">
        <f t="shared" si="1"/>
        <v>30</v>
      </c>
      <c r="B32" s="68">
        <v>95884</v>
      </c>
      <c r="C32" s="68">
        <f t="shared" si="0"/>
        <v>126</v>
      </c>
      <c r="D32" s="69">
        <v>1.314087856159496E-3</v>
      </c>
      <c r="E32" s="67">
        <v>570</v>
      </c>
      <c r="F32" s="42">
        <v>1274.9643786819086</v>
      </c>
      <c r="G32" s="42">
        <v>1431.5440065596852</v>
      </c>
      <c r="H32" s="42">
        <v>1697.1809197725081</v>
      </c>
      <c r="I32" s="67">
        <v>1.4999999999999999E-2</v>
      </c>
      <c r="N32" s="36">
        <v>0.1</v>
      </c>
      <c r="O32" s="36">
        <v>0.12</v>
      </c>
      <c r="P32" s="36">
        <v>0.12</v>
      </c>
      <c r="Q32" s="44" t="s">
        <v>103</v>
      </c>
      <c r="R32" s="77">
        <f>IFERROR(GEOMEAN(S15:W15),0)</f>
        <v>0.20730440402197273</v>
      </c>
      <c r="S32" s="78"/>
      <c r="AA32" s="33"/>
      <c r="AB32" s="33"/>
      <c r="AC32" s="33">
        <v>30</v>
      </c>
    </row>
    <row r="33" spans="1:29" ht="18" x14ac:dyDescent="0.25">
      <c r="A33" s="67">
        <f t="shared" si="1"/>
        <v>31</v>
      </c>
      <c r="B33" s="68">
        <v>95758</v>
      </c>
      <c r="C33" s="68">
        <f t="shared" si="0"/>
        <v>128</v>
      </c>
      <c r="D33" s="69">
        <v>1.3367029386578411E-3</v>
      </c>
      <c r="E33" s="67">
        <v>750</v>
      </c>
      <c r="F33" s="42">
        <v>1384.5580847673309</v>
      </c>
      <c r="G33" s="42">
        <v>1540.880865591545</v>
      </c>
      <c r="H33" s="42">
        <v>1819.0289516049861</v>
      </c>
      <c r="I33" s="67">
        <v>0.02</v>
      </c>
      <c r="N33" s="36">
        <v>8.5000000000000006E-2</v>
      </c>
      <c r="O33" s="36">
        <v>8.5000000000000006E-2</v>
      </c>
      <c r="P33" s="36">
        <v>8.5000000000000006E-2</v>
      </c>
      <c r="Q33" s="44" t="s">
        <v>104</v>
      </c>
      <c r="R33" s="77">
        <f t="shared" ref="R33:R36" si="8">IFERROR(GEOMEAN(S16:W16),0)</f>
        <v>0.3368937414033174</v>
      </c>
      <c r="S33" s="78"/>
      <c r="AA33" s="33"/>
      <c r="AB33" s="33"/>
      <c r="AC33" s="33">
        <v>31</v>
      </c>
    </row>
    <row r="34" spans="1:29" ht="18" x14ac:dyDescent="0.25">
      <c r="A34" s="67">
        <f t="shared" si="1"/>
        <v>32</v>
      </c>
      <c r="B34" s="68">
        <v>95630</v>
      </c>
      <c r="C34" s="68">
        <f t="shared" si="0"/>
        <v>132</v>
      </c>
      <c r="D34" s="69">
        <v>1.3803199832688184E-3</v>
      </c>
      <c r="E34" s="67">
        <v>750</v>
      </c>
      <c r="F34" s="42">
        <v>1508.487286082848</v>
      </c>
      <c r="G34" s="42">
        <v>1665.161190822304</v>
      </c>
      <c r="H34" s="42">
        <v>1959.3931271935239</v>
      </c>
      <c r="I34" s="67">
        <v>0.02</v>
      </c>
      <c r="N34" s="36">
        <v>0.1</v>
      </c>
      <c r="O34" s="36">
        <v>0.1</v>
      </c>
      <c r="P34" s="36">
        <v>0.1</v>
      </c>
      <c r="Q34" s="44" t="s">
        <v>87</v>
      </c>
      <c r="R34" s="77">
        <f t="shared" si="8"/>
        <v>0.22690066013951149</v>
      </c>
      <c r="S34" s="78"/>
      <c r="AA34" s="33"/>
      <c r="AB34" s="33"/>
      <c r="AC34" s="33">
        <v>32</v>
      </c>
    </row>
    <row r="35" spans="1:29" ht="18" x14ac:dyDescent="0.25">
      <c r="A35" s="67">
        <f t="shared" si="1"/>
        <v>33</v>
      </c>
      <c r="B35" s="68">
        <v>95498</v>
      </c>
      <c r="C35" s="68">
        <f t="shared" si="0"/>
        <v>134</v>
      </c>
      <c r="D35" s="69">
        <v>1.4031707470313348E-3</v>
      </c>
      <c r="E35" s="67">
        <v>750</v>
      </c>
      <c r="F35" s="42">
        <v>1650.9540934360305</v>
      </c>
      <c r="G35" s="42">
        <v>1808.7684249210718</v>
      </c>
      <c r="H35" s="42">
        <v>2124.2181974791406</v>
      </c>
      <c r="I35" s="67">
        <v>0.02</v>
      </c>
      <c r="N35" s="36">
        <v>0.1</v>
      </c>
      <c r="O35" s="36">
        <v>0.13</v>
      </c>
      <c r="P35" s="36">
        <v>0.15</v>
      </c>
      <c r="Q35" s="44" t="s">
        <v>105</v>
      </c>
      <c r="R35" s="77">
        <f t="shared" si="8"/>
        <v>0.16517857656620297</v>
      </c>
      <c r="S35" s="78"/>
      <c r="AA35" s="33"/>
      <c r="AB35" s="33"/>
      <c r="AC35" s="33">
        <v>33</v>
      </c>
    </row>
    <row r="36" spans="1:29" ht="18" x14ac:dyDescent="0.25">
      <c r="A36" s="67">
        <f t="shared" si="1"/>
        <v>34</v>
      </c>
      <c r="B36" s="68">
        <v>95364</v>
      </c>
      <c r="C36" s="68">
        <f t="shared" si="0"/>
        <v>136</v>
      </c>
      <c r="D36" s="69">
        <v>1.4261146763977495E-3</v>
      </c>
      <c r="E36" s="67">
        <v>750</v>
      </c>
      <c r="F36" s="42">
        <v>1815.3648240560885</v>
      </c>
      <c r="G36" s="42">
        <v>1975.1796576208051</v>
      </c>
      <c r="H36" s="42">
        <v>2314.5650771591459</v>
      </c>
      <c r="I36" s="67">
        <v>0.02</v>
      </c>
      <c r="N36" s="36">
        <v>0.1</v>
      </c>
      <c r="O36" s="36">
        <v>0.13</v>
      </c>
      <c r="P36" s="36">
        <v>0.14000000000000001</v>
      </c>
      <c r="Q36" s="44" t="s">
        <v>106</v>
      </c>
      <c r="R36" s="77">
        <f t="shared" si="8"/>
        <v>0.17176273935776695</v>
      </c>
      <c r="S36" s="78"/>
      <c r="AA36" s="33"/>
      <c r="AB36" s="33"/>
      <c r="AC36" s="33">
        <v>34</v>
      </c>
    </row>
    <row r="37" spans="1:29" x14ac:dyDescent="0.25">
      <c r="A37" s="67">
        <f t="shared" si="1"/>
        <v>35</v>
      </c>
      <c r="B37" s="68">
        <v>95228</v>
      </c>
      <c r="C37" s="68">
        <f t="shared" si="0"/>
        <v>142</v>
      </c>
      <c r="D37" s="69">
        <v>1.4911580627546828E-3</v>
      </c>
      <c r="E37" s="67">
        <v>750</v>
      </c>
      <c r="F37" s="42">
        <v>2008.2345978158221</v>
      </c>
      <c r="G37" s="42">
        <v>2170.8901409040623</v>
      </c>
      <c r="H37" s="42">
        <v>2542.2269935438849</v>
      </c>
      <c r="I37" s="67">
        <v>0.02</v>
      </c>
      <c r="AA37" s="33"/>
      <c r="AB37" s="33"/>
      <c r="AC37" s="33">
        <v>35</v>
      </c>
    </row>
    <row r="38" spans="1:29" x14ac:dyDescent="0.25">
      <c r="A38" s="67">
        <f t="shared" si="1"/>
        <v>36</v>
      </c>
      <c r="B38" s="68">
        <v>95086</v>
      </c>
      <c r="C38" s="68">
        <f t="shared" si="0"/>
        <v>145</v>
      </c>
      <c r="D38" s="69">
        <v>1.5249353217087203E-3</v>
      </c>
      <c r="E38" s="67">
        <v>1500</v>
      </c>
      <c r="F38" s="42">
        <v>2223.5652272699563</v>
      </c>
      <c r="G38" s="42">
        <v>2390.0060210028264</v>
      </c>
      <c r="H38" s="42">
        <v>2787.9219529737793</v>
      </c>
      <c r="I38" s="67">
        <v>0.02</v>
      </c>
      <c r="AA38" s="33"/>
      <c r="AB38" s="33"/>
      <c r="AC38" s="33">
        <v>36</v>
      </c>
    </row>
    <row r="39" spans="1:29" x14ac:dyDescent="0.25">
      <c r="A39" s="67">
        <f t="shared" si="1"/>
        <v>37</v>
      </c>
      <c r="B39" s="68">
        <v>94941</v>
      </c>
      <c r="C39" s="68">
        <f t="shared" si="0"/>
        <v>151</v>
      </c>
      <c r="D39" s="69">
        <v>1.5904614444760545E-3</v>
      </c>
      <c r="E39" s="67">
        <v>1500</v>
      </c>
      <c r="F39" s="42">
        <v>2472.5318104059074</v>
      </c>
      <c r="G39" s="42">
        <v>2650.4710924720098</v>
      </c>
      <c r="H39" s="42">
        <v>3070.6889240081509</v>
      </c>
      <c r="I39" s="67">
        <v>0.02</v>
      </c>
      <c r="AA39" s="33"/>
      <c r="AB39" s="33"/>
      <c r="AC39" s="33">
        <v>37</v>
      </c>
    </row>
    <row r="40" spans="1:29" x14ac:dyDescent="0.25">
      <c r="A40" s="67">
        <f t="shared" si="1"/>
        <v>38</v>
      </c>
      <c r="B40" s="68">
        <v>94790</v>
      </c>
      <c r="C40" s="68">
        <f t="shared" si="0"/>
        <v>156</v>
      </c>
      <c r="D40" s="69">
        <v>1.6457432218588419E-3</v>
      </c>
      <c r="E40" s="67">
        <v>1500</v>
      </c>
      <c r="F40" s="42">
        <v>2751.8053055592359</v>
      </c>
      <c r="G40" s="42">
        <v>2944.9158569742995</v>
      </c>
      <c r="H40" s="42">
        <v>3387.5597716405186</v>
      </c>
      <c r="I40" s="67">
        <v>0.02</v>
      </c>
      <c r="AA40" s="33"/>
      <c r="AB40" s="33"/>
      <c r="AC40" s="33">
        <v>38</v>
      </c>
    </row>
    <row r="41" spans="1:29" x14ac:dyDescent="0.25">
      <c r="A41" s="67">
        <f t="shared" si="1"/>
        <v>39</v>
      </c>
      <c r="B41" s="68">
        <v>94634</v>
      </c>
      <c r="C41" s="68">
        <f t="shared" si="0"/>
        <v>165</v>
      </c>
      <c r="D41" s="69">
        <v>1.7435593972567887E-3</v>
      </c>
      <c r="E41" s="67">
        <v>1500</v>
      </c>
      <c r="F41" s="42">
        <v>3076.130012791215</v>
      </c>
      <c r="G41" s="42">
        <v>3287.3550195525791</v>
      </c>
      <c r="H41" s="42">
        <v>3745.813311083461</v>
      </c>
      <c r="I41" s="67">
        <v>0.02</v>
      </c>
      <c r="AA41" s="33"/>
      <c r="AB41" s="33"/>
      <c r="AC41" s="33">
        <v>39</v>
      </c>
    </row>
    <row r="42" spans="1:29" x14ac:dyDescent="0.25">
      <c r="A42" s="67">
        <f t="shared" si="1"/>
        <v>40</v>
      </c>
      <c r="B42" s="68">
        <v>94469</v>
      </c>
      <c r="C42" s="68">
        <f t="shared" si="0"/>
        <v>172</v>
      </c>
      <c r="D42" s="69">
        <v>1.8207030877853692E-3</v>
      </c>
      <c r="E42" s="67">
        <v>1500</v>
      </c>
      <c r="F42" s="42">
        <v>3421.2840364484332</v>
      </c>
      <c r="G42" s="42">
        <v>3688.4430430599168</v>
      </c>
      <c r="H42" s="42">
        <v>4164.2540484181982</v>
      </c>
      <c r="I42" s="67">
        <v>2.5000000000000001E-2</v>
      </c>
      <c r="AA42" s="33"/>
      <c r="AB42" s="33"/>
      <c r="AC42" s="33">
        <v>40</v>
      </c>
    </row>
    <row r="43" spans="1:29" x14ac:dyDescent="0.25">
      <c r="A43" s="67">
        <f t="shared" si="1"/>
        <v>41</v>
      </c>
      <c r="B43" s="68">
        <v>94297</v>
      </c>
      <c r="C43" s="68">
        <f t="shared" si="0"/>
        <v>182</v>
      </c>
      <c r="D43" s="69">
        <v>1.9300720065325017E-3</v>
      </c>
      <c r="E43" s="67">
        <v>2800</v>
      </c>
      <c r="F43" s="42">
        <v>3838.0945878173757</v>
      </c>
      <c r="G43" s="42">
        <v>4136.9980989575824</v>
      </c>
      <c r="H43" s="42">
        <v>4625.5900876146561</v>
      </c>
      <c r="I43" s="67">
        <v>2.5000000000000001E-2</v>
      </c>
      <c r="AA43" s="33"/>
      <c r="AB43" s="33"/>
      <c r="AC43" s="33">
        <v>41</v>
      </c>
    </row>
    <row r="44" spans="1:29" x14ac:dyDescent="0.25">
      <c r="A44" s="67">
        <f t="shared" si="1"/>
        <v>42</v>
      </c>
      <c r="B44" s="68">
        <v>94115</v>
      </c>
      <c r="C44" s="68">
        <f t="shared" si="0"/>
        <v>193</v>
      </c>
      <c r="D44" s="69">
        <v>2.0506826754502772E-3</v>
      </c>
      <c r="E44" s="67">
        <v>2800</v>
      </c>
      <c r="F44" s="42">
        <v>4300.0820681521018</v>
      </c>
      <c r="G44" s="42">
        <v>4636.9176679695738</v>
      </c>
      <c r="H44" s="42">
        <v>5140.6476960097225</v>
      </c>
      <c r="I44" s="67">
        <v>2.5000000000000001E-2</v>
      </c>
      <c r="AA44" s="33"/>
      <c r="AB44" s="33"/>
      <c r="AC44" s="33">
        <v>42</v>
      </c>
    </row>
    <row r="45" spans="1:29" x14ac:dyDescent="0.25">
      <c r="A45" s="67">
        <f t="shared" si="1"/>
        <v>43</v>
      </c>
      <c r="B45" s="68">
        <v>93922</v>
      </c>
      <c r="C45" s="68">
        <f t="shared" si="0"/>
        <v>204</v>
      </c>
      <c r="D45" s="69">
        <v>2.172015076339906E-3</v>
      </c>
      <c r="E45" s="67">
        <v>2800</v>
      </c>
      <c r="F45" s="42">
        <v>4816.2682555563715</v>
      </c>
      <c r="G45" s="42">
        <v>5193.7583012912919</v>
      </c>
      <c r="H45" s="42">
        <v>5710.0445330265584</v>
      </c>
      <c r="I45" s="67">
        <v>2.5000000000000001E-2</v>
      </c>
      <c r="AA45" s="33"/>
      <c r="AB45" s="33"/>
      <c r="AC45" s="33">
        <v>43</v>
      </c>
    </row>
    <row r="46" spans="1:29" x14ac:dyDescent="0.25">
      <c r="A46" s="67">
        <f t="shared" si="1"/>
        <v>44</v>
      </c>
      <c r="B46" s="68">
        <v>93718</v>
      </c>
      <c r="C46" s="68">
        <f t="shared" si="0"/>
        <v>219</v>
      </c>
      <c r="D46" s="69">
        <v>2.3367976269232926E-3</v>
      </c>
      <c r="E46" s="67">
        <v>2800</v>
      </c>
      <c r="F46" s="42">
        <v>5382.456092151614</v>
      </c>
      <c r="G46" s="42">
        <v>5801.052643917752</v>
      </c>
      <c r="H46" s="42">
        <v>6326.7567970788259</v>
      </c>
      <c r="I46" s="67">
        <v>2.5000000000000001E-2</v>
      </c>
      <c r="AA46" s="33"/>
      <c r="AB46" s="33"/>
      <c r="AC46" s="33">
        <v>44</v>
      </c>
    </row>
    <row r="47" spans="1:29" x14ac:dyDescent="0.25">
      <c r="A47" s="67">
        <f t="shared" si="1"/>
        <v>45</v>
      </c>
      <c r="B47" s="68">
        <v>93499</v>
      </c>
      <c r="C47" s="68">
        <f t="shared" si="0"/>
        <v>236</v>
      </c>
      <c r="D47" s="69">
        <v>2.5240911667504529E-3</v>
      </c>
      <c r="E47" s="67">
        <v>2800</v>
      </c>
      <c r="F47" s="42">
        <v>6013.7266402290525</v>
      </c>
      <c r="G47" s="42">
        <v>6472.2459603726975</v>
      </c>
      <c r="H47" s="42">
        <v>7012.8871998096411</v>
      </c>
      <c r="I47" s="67">
        <v>3.2000000000000001E-2</v>
      </c>
      <c r="AA47" s="33"/>
      <c r="AB47" s="33"/>
      <c r="AC47" s="33">
        <v>45</v>
      </c>
    </row>
    <row r="48" spans="1:29" x14ac:dyDescent="0.25">
      <c r="A48" s="67">
        <f t="shared" si="1"/>
        <v>46</v>
      </c>
      <c r="B48" s="68">
        <v>93263</v>
      </c>
      <c r="C48" s="68">
        <f t="shared" si="0"/>
        <v>253</v>
      </c>
      <c r="D48" s="69">
        <v>2.7127585430449797E-3</v>
      </c>
      <c r="E48" s="67">
        <v>4600</v>
      </c>
      <c r="F48" s="42">
        <v>6640.8764456539247</v>
      </c>
      <c r="G48" s="42">
        <v>7138.447818552836</v>
      </c>
      <c r="H48" s="42">
        <v>7691.8282249240065</v>
      </c>
      <c r="I48" s="67">
        <v>3.2000000000000001E-2</v>
      </c>
      <c r="AA48" s="33"/>
      <c r="AB48" s="33"/>
      <c r="AC48" s="33">
        <v>46</v>
      </c>
    </row>
    <row r="49" spans="1:29" x14ac:dyDescent="0.25">
      <c r="A49" s="67">
        <f t="shared" si="1"/>
        <v>47</v>
      </c>
      <c r="B49" s="68">
        <v>93010</v>
      </c>
      <c r="C49" s="68">
        <f t="shared" si="0"/>
        <v>273</v>
      </c>
      <c r="D49" s="69">
        <v>2.9351682614772168E-3</v>
      </c>
      <c r="E49" s="67">
        <v>4600</v>
      </c>
      <c r="F49" s="42">
        <v>7280.819566359557</v>
      </c>
      <c r="G49" s="42">
        <v>7814.1093694295423</v>
      </c>
      <c r="H49" s="42">
        <v>8382.1859906751288</v>
      </c>
      <c r="I49" s="67">
        <v>3.2000000000000001E-2</v>
      </c>
      <c r="AA49" s="33"/>
      <c r="AB49" s="33"/>
      <c r="AC49" s="33">
        <v>47</v>
      </c>
    </row>
    <row r="50" spans="1:29" x14ac:dyDescent="0.25">
      <c r="A50" s="67">
        <f t="shared" si="1"/>
        <v>48</v>
      </c>
      <c r="B50" s="68">
        <v>92737</v>
      </c>
      <c r="C50" s="68">
        <f t="shared" si="0"/>
        <v>296</v>
      </c>
      <c r="D50" s="69">
        <v>3.1918220343551962E-3</v>
      </c>
      <c r="E50" s="67">
        <v>4600</v>
      </c>
      <c r="F50" s="42">
        <v>7929.2219617308883</v>
      </c>
      <c r="G50" s="42">
        <v>8497.6104336114186</v>
      </c>
      <c r="H50" s="42">
        <v>9084.3606356706969</v>
      </c>
      <c r="I50" s="67">
        <v>3.2000000000000001E-2</v>
      </c>
      <c r="AA50" s="33"/>
      <c r="AB50" s="33"/>
      <c r="AC50" s="33">
        <v>48</v>
      </c>
    </row>
    <row r="51" spans="1:29" x14ac:dyDescent="0.25">
      <c r="A51" s="67">
        <f t="shared" si="1"/>
        <v>49</v>
      </c>
      <c r="B51" s="68">
        <v>92441</v>
      </c>
      <c r="C51" s="68">
        <f t="shared" si="0"/>
        <v>321</v>
      </c>
      <c r="D51" s="69">
        <v>3.4724851526919398E-3</v>
      </c>
      <c r="E51" s="67">
        <v>4600</v>
      </c>
      <c r="F51" s="42">
        <v>8581.3045986101461</v>
      </c>
      <c r="G51" s="42">
        <v>9187.6223365282258</v>
      </c>
      <c r="H51" s="42">
        <v>9793.6476577037629</v>
      </c>
      <c r="I51" s="67">
        <v>3.2000000000000001E-2</v>
      </c>
      <c r="AA51" s="33"/>
      <c r="AB51" s="33"/>
      <c r="AC51" s="33">
        <v>49</v>
      </c>
    </row>
    <row r="52" spans="1:29" x14ac:dyDescent="0.25">
      <c r="A52" s="67">
        <f t="shared" si="1"/>
        <v>50</v>
      </c>
      <c r="B52" s="68">
        <v>92120</v>
      </c>
      <c r="C52" s="68">
        <f t="shared" si="0"/>
        <v>349</v>
      </c>
      <c r="D52" s="69">
        <v>3.7885366912722152E-3</v>
      </c>
      <c r="E52" s="67">
        <v>4600</v>
      </c>
      <c r="F52" s="42">
        <v>9146.7453285125721</v>
      </c>
      <c r="G52" s="42">
        <v>9795.5226654747858</v>
      </c>
      <c r="H52" s="42">
        <v>10428.895696552856</v>
      </c>
      <c r="I52" s="67">
        <v>0.04</v>
      </c>
      <c r="AA52" s="33"/>
      <c r="AB52" s="33"/>
      <c r="AC52" s="33">
        <v>50</v>
      </c>
    </row>
    <row r="53" spans="1:29" x14ac:dyDescent="0.25">
      <c r="A53" s="67">
        <f t="shared" si="1"/>
        <v>51</v>
      </c>
      <c r="B53" s="68">
        <v>91771</v>
      </c>
      <c r="C53" s="68">
        <f t="shared" si="0"/>
        <v>382</v>
      </c>
      <c r="D53" s="69">
        <v>4.1625350056118116E-3</v>
      </c>
      <c r="E53" s="67">
        <v>5600</v>
      </c>
      <c r="F53" s="42">
        <v>9807.7938996143585</v>
      </c>
      <c r="G53" s="42">
        <v>10505.03222048838</v>
      </c>
      <c r="H53" s="42">
        <v>11168.372984987955</v>
      </c>
      <c r="I53" s="67">
        <v>0.04</v>
      </c>
      <c r="AA53" s="33"/>
      <c r="AB53" s="33"/>
      <c r="AC53" s="33">
        <v>51</v>
      </c>
    </row>
    <row r="54" spans="1:29" x14ac:dyDescent="0.25">
      <c r="A54" s="67">
        <f t="shared" si="1"/>
        <v>52</v>
      </c>
      <c r="B54" s="68">
        <v>91389</v>
      </c>
      <c r="C54" s="68">
        <f t="shared" si="0"/>
        <v>414</v>
      </c>
      <c r="D54" s="69">
        <v>4.5300856777074072E-3</v>
      </c>
      <c r="E54" s="67">
        <v>5600</v>
      </c>
      <c r="F54" s="42">
        <v>10479.053514801722</v>
      </c>
      <c r="G54" s="42">
        <v>11236.037680651318</v>
      </c>
      <c r="H54" s="42">
        <v>11942.881769973368</v>
      </c>
      <c r="I54" s="67">
        <v>0.04</v>
      </c>
      <c r="AA54" s="33"/>
      <c r="AB54" s="33"/>
      <c r="AC54" s="33">
        <v>52</v>
      </c>
    </row>
    <row r="55" spans="1:29" x14ac:dyDescent="0.25">
      <c r="A55" s="67">
        <f t="shared" si="1"/>
        <v>53</v>
      </c>
      <c r="B55" s="68">
        <v>90975</v>
      </c>
      <c r="C55" s="68">
        <f t="shared" si="0"/>
        <v>453</v>
      </c>
      <c r="D55" s="69">
        <v>4.9793899422918564E-3</v>
      </c>
      <c r="E55" s="67">
        <v>5600</v>
      </c>
      <c r="F55" s="42">
        <v>11180.686262235127</v>
      </c>
      <c r="G55" s="42">
        <v>12005.158074524415</v>
      </c>
      <c r="H55" s="42">
        <v>12763.386688180653</v>
      </c>
      <c r="I55" s="67">
        <v>0.04</v>
      </c>
      <c r="AA55" s="33"/>
      <c r="AB55" s="33"/>
      <c r="AC55" s="33">
        <v>53</v>
      </c>
    </row>
    <row r="56" spans="1:29" x14ac:dyDescent="0.25">
      <c r="A56" s="67">
        <f t="shared" si="1"/>
        <v>54</v>
      </c>
      <c r="B56" s="68">
        <v>90522</v>
      </c>
      <c r="C56" s="68">
        <f t="shared" si="0"/>
        <v>497</v>
      </c>
      <c r="D56" s="69">
        <v>5.4903780296502447E-3</v>
      </c>
      <c r="E56" s="67">
        <v>5600</v>
      </c>
      <c r="F56" s="42">
        <v>11920.99433418546</v>
      </c>
      <c r="G56" s="42">
        <v>12818.95631991968</v>
      </c>
      <c r="H56" s="42">
        <v>13638.002227128436</v>
      </c>
      <c r="I56" s="67">
        <v>0.04</v>
      </c>
      <c r="AA56" s="33"/>
      <c r="AB56" s="33"/>
      <c r="AC56" s="33">
        <v>54</v>
      </c>
    </row>
    <row r="57" spans="1:29" x14ac:dyDescent="0.25">
      <c r="A57" s="67">
        <f t="shared" si="1"/>
        <v>55</v>
      </c>
      <c r="B57" s="68">
        <v>90025</v>
      </c>
      <c r="C57" s="68">
        <f t="shared" si="0"/>
        <v>542</v>
      </c>
      <c r="D57" s="69">
        <v>6.0205498472646335E-3</v>
      </c>
      <c r="E57" s="67">
        <v>5600</v>
      </c>
      <c r="F57" s="42">
        <v>12726.218511594103</v>
      </c>
      <c r="G57" s="42">
        <v>13701.036725402604</v>
      </c>
      <c r="H57" s="42">
        <v>14593.930192120622</v>
      </c>
      <c r="I57" s="67">
        <v>0.04</v>
      </c>
    </row>
    <row r="58" spans="1:29" x14ac:dyDescent="0.25">
      <c r="A58" s="67">
        <f t="shared" si="1"/>
        <v>56</v>
      </c>
      <c r="B58" s="68">
        <v>89483</v>
      </c>
      <c r="C58" s="68">
        <f t="shared" si="0"/>
        <v>593</v>
      </c>
      <c r="D58" s="69">
        <v>6.6269570756456453E-3</v>
      </c>
      <c r="E58" s="67">
        <v>5800</v>
      </c>
      <c r="F58" s="42">
        <v>13538.998722670112</v>
      </c>
      <c r="G58" s="42">
        <v>14588.672346598967</v>
      </c>
      <c r="H58" s="42">
        <v>15563.558728512555</v>
      </c>
      <c r="I58" s="67">
        <v>0.04</v>
      </c>
    </row>
    <row r="59" spans="1:29" x14ac:dyDescent="0.25">
      <c r="A59" s="67">
        <f t="shared" si="1"/>
        <v>57</v>
      </c>
      <c r="B59" s="68">
        <v>88890</v>
      </c>
      <c r="C59" s="68">
        <f t="shared" si="0"/>
        <v>651</v>
      </c>
      <c r="D59" s="69">
        <v>7.3236584542692995E-3</v>
      </c>
      <c r="E59" s="67">
        <v>5800</v>
      </c>
      <c r="F59" s="42">
        <v>14396.102015866858</v>
      </c>
      <c r="G59" s="42">
        <v>15515.401502457169</v>
      </c>
      <c r="H59" s="42">
        <v>16585.344516446126</v>
      </c>
      <c r="I59" s="67">
        <v>0.04</v>
      </c>
    </row>
    <row r="60" spans="1:29" x14ac:dyDescent="0.25">
      <c r="A60" s="67">
        <f t="shared" si="1"/>
        <v>58</v>
      </c>
      <c r="B60" s="68">
        <v>88239</v>
      </c>
      <c r="C60" s="68">
        <f t="shared" si="0"/>
        <v>710</v>
      </c>
      <c r="D60" s="69">
        <v>8.0463287208604184E-3</v>
      </c>
      <c r="E60" s="67">
        <v>5800</v>
      </c>
      <c r="F60" s="42">
        <v>15323.690712698663</v>
      </c>
      <c r="G60" s="42">
        <v>16505.6360706657</v>
      </c>
      <c r="H60" s="42">
        <v>17681.563114939639</v>
      </c>
      <c r="I60" s="67">
        <v>0.04</v>
      </c>
    </row>
    <row r="61" spans="1:29" x14ac:dyDescent="0.25">
      <c r="A61" s="67">
        <f t="shared" si="1"/>
        <v>59</v>
      </c>
      <c r="B61" s="68">
        <v>87529</v>
      </c>
      <c r="C61" s="68">
        <f t="shared" si="0"/>
        <v>780</v>
      </c>
      <c r="D61" s="69">
        <v>8.9113322441705112E-3</v>
      </c>
      <c r="E61" s="67">
        <v>5800</v>
      </c>
      <c r="F61" s="42">
        <v>16348.755811564324</v>
      </c>
      <c r="G61" s="42">
        <v>17587.35949495259</v>
      </c>
      <c r="H61" s="42">
        <v>18886.088005478814</v>
      </c>
      <c r="I61" s="67">
        <v>0.04</v>
      </c>
    </row>
    <row r="62" spans="1:29" x14ac:dyDescent="0.25">
      <c r="A62" s="67">
        <f t="shared" si="1"/>
        <v>60</v>
      </c>
      <c r="B62" s="68">
        <v>86749</v>
      </c>
      <c r="C62" s="68">
        <f t="shared" si="0"/>
        <v>851</v>
      </c>
      <c r="D62" s="69">
        <v>9.809911353445E-3</v>
      </c>
      <c r="E62" s="67">
        <v>5800</v>
      </c>
      <c r="F62" s="42">
        <v>17437.29</v>
      </c>
      <c r="G62" s="42">
        <v>18767.29</v>
      </c>
      <c r="H62" s="42">
        <v>20167.98</v>
      </c>
      <c r="I62" s="67">
        <v>0.04</v>
      </c>
    </row>
    <row r="63" spans="1:29" x14ac:dyDescent="0.25">
      <c r="A63" s="67">
        <f t="shared" si="1"/>
        <v>61</v>
      </c>
      <c r="B63" s="68">
        <v>85898</v>
      </c>
      <c r="C63" s="68">
        <f t="shared" si="0"/>
        <v>932</v>
      </c>
      <c r="D63" s="69">
        <v>1.0850077999487784E-2</v>
      </c>
      <c r="E63" s="67"/>
      <c r="F63" s="42"/>
      <c r="G63" s="42"/>
      <c r="H63" s="42"/>
      <c r="I63" s="67">
        <v>0.04</v>
      </c>
    </row>
    <row r="64" spans="1:29" x14ac:dyDescent="0.25">
      <c r="A64" s="67">
        <f t="shared" si="1"/>
        <v>62</v>
      </c>
      <c r="B64" s="68">
        <v>84966</v>
      </c>
      <c r="C64" s="68">
        <f t="shared" si="0"/>
        <v>1018</v>
      </c>
      <c r="D64" s="69">
        <v>1.1981263093472694E-2</v>
      </c>
      <c r="E64" s="67"/>
      <c r="F64" s="42"/>
      <c r="G64" s="42"/>
      <c r="H64" s="42"/>
      <c r="I64" s="67">
        <v>0.04</v>
      </c>
    </row>
    <row r="65" spans="1:9" x14ac:dyDescent="0.25">
      <c r="A65" s="67">
        <f t="shared" si="1"/>
        <v>63</v>
      </c>
      <c r="B65" s="68">
        <v>83948</v>
      </c>
      <c r="C65" s="68">
        <f t="shared" si="0"/>
        <v>1111</v>
      </c>
      <c r="D65" s="69">
        <v>1.3234383189593579E-2</v>
      </c>
      <c r="E65" s="67"/>
      <c r="F65" s="42"/>
      <c r="G65" s="42"/>
      <c r="H65" s="42"/>
      <c r="I65" s="67">
        <v>0.04</v>
      </c>
    </row>
    <row r="66" spans="1:9" x14ac:dyDescent="0.25">
      <c r="A66" s="67">
        <f t="shared" si="1"/>
        <v>64</v>
      </c>
      <c r="B66" s="68">
        <v>82837</v>
      </c>
      <c r="C66" s="68">
        <f t="shared" si="0"/>
        <v>1213</v>
      </c>
      <c r="D66" s="69">
        <v>1.464321498847132E-2</v>
      </c>
      <c r="E66" s="67"/>
      <c r="F66" s="42"/>
      <c r="G66" s="42"/>
      <c r="H66" s="42"/>
      <c r="I66" s="67">
        <v>0.04</v>
      </c>
    </row>
    <row r="67" spans="1:9" x14ac:dyDescent="0.25">
      <c r="A67" s="67">
        <f t="shared" si="1"/>
        <v>65</v>
      </c>
      <c r="B67" s="68">
        <v>81624</v>
      </c>
      <c r="C67" s="68">
        <f t="shared" ref="C67:C108" si="9">B67-B68</f>
        <v>1321</v>
      </c>
      <c r="D67" s="69">
        <v>1.6183965500343067E-2</v>
      </c>
      <c r="E67" s="67"/>
      <c r="F67" s="42"/>
      <c r="G67" s="42"/>
      <c r="H67" s="42"/>
      <c r="I67" s="67">
        <v>0.04</v>
      </c>
    </row>
    <row r="68" spans="1:9" x14ac:dyDescent="0.25">
      <c r="A68" s="67">
        <f t="shared" ref="A68:A106" si="10">A67+1</f>
        <v>66</v>
      </c>
      <c r="B68" s="68">
        <v>80303</v>
      </c>
      <c r="C68" s="68">
        <f t="shared" si="9"/>
        <v>1436</v>
      </c>
      <c r="D68" s="69">
        <v>1.7882270898970098E-2</v>
      </c>
      <c r="E68" s="67"/>
      <c r="F68" s="42"/>
      <c r="G68" s="42"/>
      <c r="H68" s="42"/>
      <c r="I68" s="67">
        <v>0</v>
      </c>
    </row>
    <row r="69" spans="1:9" x14ac:dyDescent="0.25">
      <c r="A69" s="67">
        <f t="shared" si="10"/>
        <v>67</v>
      </c>
      <c r="B69" s="68">
        <v>78867</v>
      </c>
      <c r="C69" s="68">
        <f t="shared" si="9"/>
        <v>1559</v>
      </c>
      <c r="D69" s="69">
        <v>1.9767456604156353E-2</v>
      </c>
      <c r="E69" s="67"/>
      <c r="F69" s="42"/>
      <c r="G69" s="42"/>
      <c r="H69" s="42"/>
      <c r="I69" s="67">
        <v>0</v>
      </c>
    </row>
    <row r="70" spans="1:9" x14ac:dyDescent="0.25">
      <c r="A70" s="67">
        <f t="shared" si="10"/>
        <v>68</v>
      </c>
      <c r="B70" s="68">
        <v>77308</v>
      </c>
      <c r="C70" s="68">
        <f t="shared" si="9"/>
        <v>1690</v>
      </c>
      <c r="D70" s="69">
        <v>2.1860609510011897E-2</v>
      </c>
      <c r="E70" s="67"/>
      <c r="F70" s="42"/>
      <c r="G70" s="42"/>
      <c r="H70" s="42"/>
      <c r="I70" s="67">
        <v>0</v>
      </c>
    </row>
    <row r="71" spans="1:9" x14ac:dyDescent="0.25">
      <c r="A71" s="67">
        <f t="shared" si="10"/>
        <v>69</v>
      </c>
      <c r="B71" s="68">
        <v>75618</v>
      </c>
      <c r="C71" s="68">
        <f t="shared" si="9"/>
        <v>1827</v>
      </c>
      <c r="D71" s="69">
        <v>2.4160914068079076E-2</v>
      </c>
      <c r="E71" s="67"/>
      <c r="F71" s="42"/>
      <c r="G71" s="42"/>
      <c r="H71" s="42"/>
      <c r="I71" s="67">
        <v>0</v>
      </c>
    </row>
    <row r="72" spans="1:9" x14ac:dyDescent="0.25">
      <c r="A72" s="67">
        <f t="shared" si="10"/>
        <v>70</v>
      </c>
      <c r="B72" s="68">
        <v>73791</v>
      </c>
      <c r="C72" s="68">
        <f t="shared" si="9"/>
        <v>1971</v>
      </c>
      <c r="D72" s="69">
        <v>2.6710574460300007E-2</v>
      </c>
      <c r="E72" s="67"/>
      <c r="F72" s="42"/>
      <c r="G72" s="42"/>
      <c r="H72" s="42"/>
      <c r="I72" s="67">
        <v>0</v>
      </c>
    </row>
    <row r="73" spans="1:9" x14ac:dyDescent="0.25">
      <c r="A73" s="67">
        <f t="shared" si="10"/>
        <v>71</v>
      </c>
      <c r="B73" s="68">
        <v>71820</v>
      </c>
      <c r="C73" s="68">
        <f t="shared" si="9"/>
        <v>2120</v>
      </c>
      <c r="D73" s="69">
        <v>2.9518240044555832E-2</v>
      </c>
      <c r="E73" s="67"/>
      <c r="F73" s="42"/>
      <c r="G73" s="42"/>
      <c r="H73" s="42"/>
      <c r="I73" s="67">
        <v>0</v>
      </c>
    </row>
    <row r="74" spans="1:9" x14ac:dyDescent="0.25">
      <c r="A74" s="67">
        <f t="shared" si="10"/>
        <v>72</v>
      </c>
      <c r="B74" s="68">
        <v>69700</v>
      </c>
      <c r="C74" s="68">
        <f t="shared" si="9"/>
        <v>2273</v>
      </c>
      <c r="D74" s="69">
        <v>3.2611190817790514E-2</v>
      </c>
      <c r="E74" s="67"/>
      <c r="F74" s="42"/>
      <c r="G74" s="42"/>
      <c r="H74" s="42"/>
      <c r="I74" s="67">
        <v>0</v>
      </c>
    </row>
    <row r="75" spans="1:9" x14ac:dyDescent="0.25">
      <c r="A75" s="67">
        <f t="shared" si="10"/>
        <v>73</v>
      </c>
      <c r="B75" s="68">
        <v>67427</v>
      </c>
      <c r="C75" s="68">
        <f t="shared" si="9"/>
        <v>2429</v>
      </c>
      <c r="D75" s="69">
        <v>3.6024144630489308E-2</v>
      </c>
      <c r="E75" s="67"/>
      <c r="F75" s="42"/>
      <c r="G75" s="42"/>
      <c r="H75" s="42"/>
      <c r="I75" s="67">
        <v>0</v>
      </c>
    </row>
    <row r="76" spans="1:9" x14ac:dyDescent="0.25">
      <c r="A76" s="67">
        <f t="shared" si="10"/>
        <v>74</v>
      </c>
      <c r="B76" s="68">
        <v>64998</v>
      </c>
      <c r="C76" s="68">
        <f t="shared" si="9"/>
        <v>2586</v>
      </c>
      <c r="D76" s="69">
        <v>3.9785839564294267E-2</v>
      </c>
      <c r="E76" s="67"/>
      <c r="F76" s="42"/>
      <c r="G76" s="42"/>
      <c r="H76" s="42"/>
      <c r="I76" s="67">
        <v>0</v>
      </c>
    </row>
    <row r="77" spans="1:9" x14ac:dyDescent="0.25">
      <c r="A77" s="67">
        <f t="shared" si="10"/>
        <v>75</v>
      </c>
      <c r="B77" s="68">
        <v>62412</v>
      </c>
      <c r="C77" s="68">
        <f t="shared" si="9"/>
        <v>2741</v>
      </c>
      <c r="D77" s="69">
        <v>4.3917836313529413E-2</v>
      </c>
      <c r="E77" s="67"/>
      <c r="F77" s="42"/>
      <c r="G77" s="42"/>
      <c r="H77" s="42"/>
      <c r="I77" s="67">
        <v>0</v>
      </c>
    </row>
    <row r="78" spans="1:9" x14ac:dyDescent="0.25">
      <c r="A78" s="67">
        <f t="shared" si="10"/>
        <v>76</v>
      </c>
      <c r="B78" s="68">
        <v>59671</v>
      </c>
      <c r="C78" s="68">
        <f t="shared" si="9"/>
        <v>2892</v>
      </c>
      <c r="D78" s="69">
        <v>4.8465753883796148E-2</v>
      </c>
      <c r="E78" s="67"/>
      <c r="F78" s="42"/>
      <c r="G78" s="42"/>
      <c r="H78" s="42"/>
      <c r="I78" s="67">
        <v>0</v>
      </c>
    </row>
    <row r="79" spans="1:9" x14ac:dyDescent="0.25">
      <c r="A79" s="67">
        <f t="shared" si="10"/>
        <v>77</v>
      </c>
      <c r="B79" s="68">
        <v>56779</v>
      </c>
      <c r="C79" s="68">
        <f t="shared" si="9"/>
        <v>3035</v>
      </c>
      <c r="D79" s="69">
        <v>5.3452861093009729E-2</v>
      </c>
      <c r="E79" s="67"/>
      <c r="F79" s="42"/>
      <c r="G79" s="42"/>
      <c r="H79" s="42"/>
      <c r="I79" s="67">
        <v>0</v>
      </c>
    </row>
    <row r="80" spans="1:9" x14ac:dyDescent="0.25">
      <c r="A80" s="67">
        <f t="shared" si="10"/>
        <v>78</v>
      </c>
      <c r="B80" s="68">
        <v>53744</v>
      </c>
      <c r="C80" s="68">
        <f t="shared" si="9"/>
        <v>3167</v>
      </c>
      <c r="D80" s="69">
        <v>5.8927508186960353E-2</v>
      </c>
      <c r="E80" s="67"/>
      <c r="F80" s="42"/>
      <c r="G80" s="42"/>
      <c r="H80" s="42"/>
      <c r="I80" s="67">
        <v>0</v>
      </c>
    </row>
    <row r="81" spans="1:9" x14ac:dyDescent="0.25">
      <c r="A81" s="67">
        <f t="shared" si="10"/>
        <v>79</v>
      </c>
      <c r="B81" s="68">
        <v>50577</v>
      </c>
      <c r="C81" s="68">
        <f t="shared" si="9"/>
        <v>3284</v>
      </c>
      <c r="D81" s="69">
        <v>6.4930699725171515E-2</v>
      </c>
      <c r="E81" s="67"/>
      <c r="F81" s="42"/>
      <c r="G81" s="42"/>
      <c r="H81" s="42"/>
      <c r="I81" s="67">
        <v>0</v>
      </c>
    </row>
    <row r="82" spans="1:9" x14ac:dyDescent="0.25">
      <c r="A82" s="67">
        <f t="shared" si="10"/>
        <v>80</v>
      </c>
      <c r="B82" s="68">
        <v>47293</v>
      </c>
      <c r="C82" s="68">
        <f t="shared" si="9"/>
        <v>3381</v>
      </c>
      <c r="D82" s="69">
        <v>7.1490495422155464E-2</v>
      </c>
      <c r="E82" s="67"/>
      <c r="F82" s="42"/>
      <c r="G82" s="42"/>
      <c r="H82" s="42"/>
      <c r="I82" s="67">
        <v>0</v>
      </c>
    </row>
    <row r="83" spans="1:9" x14ac:dyDescent="0.25">
      <c r="A83" s="67">
        <f t="shared" si="10"/>
        <v>81</v>
      </c>
      <c r="B83" s="68">
        <v>43912</v>
      </c>
      <c r="C83" s="68">
        <f t="shared" si="9"/>
        <v>3456</v>
      </c>
      <c r="D83" s="69">
        <v>7.8702860265986496E-2</v>
      </c>
      <c r="E83" s="67"/>
      <c r="F83" s="42"/>
      <c r="G83" s="42"/>
      <c r="H83" s="42"/>
      <c r="I83" s="67">
        <v>0</v>
      </c>
    </row>
    <row r="84" spans="1:9" x14ac:dyDescent="0.25">
      <c r="A84" s="67">
        <f t="shared" si="10"/>
        <v>82</v>
      </c>
      <c r="B84" s="68">
        <v>40456</v>
      </c>
      <c r="C84" s="68">
        <f t="shared" si="9"/>
        <v>3500</v>
      </c>
      <c r="D84" s="69">
        <v>8.6513743326082637E-2</v>
      </c>
      <c r="E84" s="67"/>
      <c r="F84" s="42"/>
      <c r="G84" s="42"/>
      <c r="H84" s="42"/>
      <c r="I84" s="67">
        <v>0</v>
      </c>
    </row>
    <row r="85" spans="1:9" x14ac:dyDescent="0.25">
      <c r="A85" s="67">
        <f t="shared" si="10"/>
        <v>83</v>
      </c>
      <c r="B85" s="68">
        <v>36956</v>
      </c>
      <c r="C85" s="68">
        <f t="shared" si="9"/>
        <v>3513</v>
      </c>
      <c r="D85" s="69">
        <v>9.5058989068080968E-2</v>
      </c>
      <c r="E85" s="67"/>
      <c r="F85" s="42"/>
      <c r="G85" s="42"/>
      <c r="H85" s="42"/>
      <c r="I85" s="67">
        <v>0</v>
      </c>
    </row>
    <row r="86" spans="1:9" x14ac:dyDescent="0.25">
      <c r="A86" s="67">
        <f t="shared" si="10"/>
        <v>84</v>
      </c>
      <c r="B86" s="68">
        <v>33443</v>
      </c>
      <c r="C86" s="68">
        <f t="shared" si="9"/>
        <v>3491</v>
      </c>
      <c r="D86" s="69">
        <v>0.10438656819065273</v>
      </c>
      <c r="E86" s="67"/>
      <c r="F86" s="42"/>
      <c r="G86" s="42"/>
      <c r="H86" s="42"/>
      <c r="I86" s="67">
        <v>0</v>
      </c>
    </row>
    <row r="87" spans="1:9" x14ac:dyDescent="0.25">
      <c r="A87" s="67">
        <f t="shared" si="10"/>
        <v>85</v>
      </c>
      <c r="B87" s="68">
        <v>29952</v>
      </c>
      <c r="C87" s="68">
        <f t="shared" si="9"/>
        <v>3427</v>
      </c>
      <c r="D87" s="69">
        <v>0.1144163995726496</v>
      </c>
      <c r="E87" s="67"/>
      <c r="F87" s="42"/>
      <c r="G87" s="42"/>
      <c r="H87" s="42"/>
      <c r="I87" s="67">
        <v>0</v>
      </c>
    </row>
    <row r="88" spans="1:9" x14ac:dyDescent="0.25">
      <c r="A88" s="67">
        <f t="shared" si="10"/>
        <v>86</v>
      </c>
      <c r="B88" s="68">
        <v>26525</v>
      </c>
      <c r="C88" s="68">
        <f t="shared" si="9"/>
        <v>3325</v>
      </c>
      <c r="D88" s="69">
        <v>0.12535344015080108</v>
      </c>
      <c r="E88" s="67"/>
      <c r="F88" s="42"/>
      <c r="G88" s="42"/>
      <c r="H88" s="42"/>
      <c r="I88" s="67">
        <v>0</v>
      </c>
    </row>
    <row r="89" spans="1:9" x14ac:dyDescent="0.25">
      <c r="A89" s="67">
        <f t="shared" si="10"/>
        <v>87</v>
      </c>
      <c r="B89" s="68">
        <v>23200</v>
      </c>
      <c r="C89" s="68">
        <f t="shared" si="9"/>
        <v>3182</v>
      </c>
      <c r="D89" s="69">
        <v>0.13715517241379316</v>
      </c>
      <c r="E89" s="67"/>
      <c r="F89" s="42"/>
      <c r="G89" s="42"/>
      <c r="H89" s="42"/>
      <c r="I89" s="67">
        <v>0</v>
      </c>
    </row>
    <row r="90" spans="1:9" x14ac:dyDescent="0.25">
      <c r="A90" s="67">
        <f t="shared" si="10"/>
        <v>88</v>
      </c>
      <c r="B90" s="68">
        <v>20018</v>
      </c>
      <c r="C90" s="68">
        <f t="shared" si="9"/>
        <v>3000</v>
      </c>
      <c r="D90" s="69">
        <v>0.14986512139074837</v>
      </c>
      <c r="E90" s="67"/>
      <c r="F90" s="42"/>
      <c r="G90" s="42"/>
      <c r="H90" s="42"/>
      <c r="I90" s="67">
        <v>0</v>
      </c>
    </row>
    <row r="91" spans="1:9" x14ac:dyDescent="0.25">
      <c r="A91" s="67">
        <f t="shared" si="10"/>
        <v>89</v>
      </c>
      <c r="B91" s="68">
        <v>17018</v>
      </c>
      <c r="C91" s="68">
        <f t="shared" si="9"/>
        <v>2785</v>
      </c>
      <c r="D91" s="69">
        <v>0.16365025267363964</v>
      </c>
      <c r="E91" s="67"/>
      <c r="F91" s="42"/>
      <c r="G91" s="42"/>
      <c r="H91" s="42"/>
      <c r="I91" s="67">
        <v>0</v>
      </c>
    </row>
    <row r="92" spans="1:9" x14ac:dyDescent="0.25">
      <c r="A92" s="67">
        <f t="shared" si="10"/>
        <v>90</v>
      </c>
      <c r="B92" s="68">
        <v>14233</v>
      </c>
      <c r="C92" s="68">
        <f t="shared" si="9"/>
        <v>2536</v>
      </c>
      <c r="D92" s="69">
        <v>0.17817747488231572</v>
      </c>
      <c r="E92" s="67"/>
      <c r="F92" s="42"/>
      <c r="G92" s="42"/>
      <c r="H92" s="42"/>
      <c r="I92" s="67">
        <v>0</v>
      </c>
    </row>
    <row r="93" spans="1:9" x14ac:dyDescent="0.25">
      <c r="A93" s="67">
        <f t="shared" si="10"/>
        <v>91</v>
      </c>
      <c r="B93" s="68">
        <v>11697</v>
      </c>
      <c r="C93" s="68">
        <f t="shared" si="9"/>
        <v>2269</v>
      </c>
      <c r="D93" s="69">
        <v>0.1939813627425836</v>
      </c>
      <c r="E93" s="67"/>
      <c r="F93" s="42"/>
      <c r="G93" s="42"/>
      <c r="H93" s="42"/>
      <c r="I93" s="67">
        <v>0</v>
      </c>
    </row>
    <row r="94" spans="1:9" x14ac:dyDescent="0.25">
      <c r="A94" s="67">
        <f t="shared" si="10"/>
        <v>92</v>
      </c>
      <c r="B94" s="68">
        <v>9428</v>
      </c>
      <c r="C94" s="68">
        <f t="shared" si="9"/>
        <v>1986</v>
      </c>
      <c r="D94" s="69">
        <v>0.21064913025031817</v>
      </c>
      <c r="E94" s="67"/>
      <c r="F94" s="42"/>
      <c r="G94" s="42"/>
      <c r="H94" s="42"/>
      <c r="I94" s="67">
        <v>0</v>
      </c>
    </row>
    <row r="95" spans="1:9" x14ac:dyDescent="0.25">
      <c r="A95" s="67">
        <f t="shared" si="10"/>
        <v>93</v>
      </c>
      <c r="B95" s="68">
        <v>7442</v>
      </c>
      <c r="C95" s="68">
        <f t="shared" si="9"/>
        <v>1700</v>
      </c>
      <c r="D95" s="69">
        <v>0.22843321687718354</v>
      </c>
      <c r="E95" s="67"/>
      <c r="F95" s="42"/>
      <c r="G95" s="42"/>
      <c r="H95" s="42"/>
      <c r="I95" s="67">
        <v>0</v>
      </c>
    </row>
    <row r="96" spans="1:9" x14ac:dyDescent="0.25">
      <c r="A96" s="67">
        <f t="shared" si="10"/>
        <v>94</v>
      </c>
      <c r="B96" s="68">
        <v>5742</v>
      </c>
      <c r="C96" s="68">
        <f t="shared" si="9"/>
        <v>1419</v>
      </c>
      <c r="D96" s="69">
        <v>0.24712643678160917</v>
      </c>
      <c r="E96" s="67"/>
      <c r="F96" s="42"/>
      <c r="G96" s="42"/>
      <c r="H96" s="42"/>
      <c r="I96" s="67">
        <v>0</v>
      </c>
    </row>
    <row r="97" spans="1:9" x14ac:dyDescent="0.25">
      <c r="A97" s="67">
        <f t="shared" si="10"/>
        <v>95</v>
      </c>
      <c r="B97" s="68">
        <v>4323</v>
      </c>
      <c r="C97" s="68">
        <f t="shared" si="9"/>
        <v>1154</v>
      </c>
      <c r="D97" s="69">
        <v>0.26694425167707614</v>
      </c>
      <c r="E97" s="67"/>
      <c r="F97" s="42"/>
      <c r="G97" s="42"/>
      <c r="H97" s="42"/>
      <c r="I97" s="67">
        <v>0</v>
      </c>
    </row>
    <row r="98" spans="1:9" x14ac:dyDescent="0.25">
      <c r="A98" s="67">
        <f t="shared" si="10"/>
        <v>96</v>
      </c>
      <c r="B98" s="68">
        <v>3169</v>
      </c>
      <c r="C98" s="68">
        <f t="shared" si="9"/>
        <v>912</v>
      </c>
      <c r="D98" s="69">
        <v>0.28778794572420319</v>
      </c>
      <c r="E98" s="67"/>
      <c r="F98" s="42"/>
      <c r="G98" s="42"/>
      <c r="H98" s="42"/>
      <c r="I98" s="67">
        <v>0</v>
      </c>
    </row>
    <row r="99" spans="1:9" x14ac:dyDescent="0.25">
      <c r="A99" s="67">
        <f t="shared" si="10"/>
        <v>97</v>
      </c>
      <c r="B99" s="68">
        <v>2257</v>
      </c>
      <c r="C99" s="68">
        <f t="shared" si="9"/>
        <v>698</v>
      </c>
      <c r="D99" s="69">
        <v>0.30926007975188308</v>
      </c>
      <c r="E99" s="67"/>
      <c r="F99" s="42"/>
      <c r="G99" s="42"/>
      <c r="H99" s="42"/>
      <c r="I99" s="67">
        <v>0</v>
      </c>
    </row>
    <row r="100" spans="1:9" x14ac:dyDescent="0.25">
      <c r="A100" s="67">
        <f t="shared" si="10"/>
        <v>98</v>
      </c>
      <c r="B100" s="68">
        <v>1559</v>
      </c>
      <c r="C100" s="68">
        <f t="shared" si="9"/>
        <v>518</v>
      </c>
      <c r="D100" s="69">
        <v>0.33226427196921104</v>
      </c>
      <c r="E100" s="67"/>
      <c r="F100" s="42"/>
      <c r="G100" s="42"/>
      <c r="H100" s="42"/>
      <c r="I100" s="67">
        <v>0</v>
      </c>
    </row>
    <row r="101" spans="1:9" x14ac:dyDescent="0.25">
      <c r="A101" s="67">
        <f t="shared" si="10"/>
        <v>99</v>
      </c>
      <c r="B101" s="68">
        <v>1041</v>
      </c>
      <c r="C101" s="68">
        <f t="shared" si="9"/>
        <v>370</v>
      </c>
      <c r="D101" s="69">
        <v>0.35542747358309323</v>
      </c>
      <c r="E101" s="67"/>
      <c r="F101" s="42"/>
      <c r="G101" s="42"/>
      <c r="H101" s="42"/>
      <c r="I101" s="67">
        <v>0</v>
      </c>
    </row>
    <row r="102" spans="1:9" x14ac:dyDescent="0.25">
      <c r="A102" s="67">
        <f t="shared" si="10"/>
        <v>100</v>
      </c>
      <c r="B102" s="68">
        <v>671</v>
      </c>
      <c r="C102" s="68">
        <f t="shared" si="9"/>
        <v>526</v>
      </c>
      <c r="D102" s="69">
        <f t="shared" ref="D102:D108" si="11">C102/B102</f>
        <v>0.78390461997019378</v>
      </c>
      <c r="E102" s="67"/>
      <c r="F102" s="42"/>
      <c r="G102" s="42"/>
      <c r="H102" s="42"/>
      <c r="I102" s="67">
        <v>0</v>
      </c>
    </row>
    <row r="103" spans="1:9" x14ac:dyDescent="0.25">
      <c r="A103" s="67">
        <f t="shared" si="10"/>
        <v>101</v>
      </c>
      <c r="B103" s="68">
        <v>145</v>
      </c>
      <c r="C103" s="68">
        <f t="shared" si="9"/>
        <v>69</v>
      </c>
      <c r="D103" s="69">
        <f t="shared" si="11"/>
        <v>0.47586206896551725</v>
      </c>
      <c r="E103" s="67"/>
      <c r="F103" s="42"/>
      <c r="G103" s="42"/>
      <c r="H103" s="42"/>
      <c r="I103" s="67">
        <v>0</v>
      </c>
    </row>
    <row r="104" spans="1:9" x14ac:dyDescent="0.25">
      <c r="A104" s="67">
        <f t="shared" si="10"/>
        <v>102</v>
      </c>
      <c r="B104" s="68">
        <v>76</v>
      </c>
      <c r="C104" s="68">
        <f t="shared" si="9"/>
        <v>39</v>
      </c>
      <c r="D104" s="69">
        <f t="shared" si="11"/>
        <v>0.51315789473684215</v>
      </c>
      <c r="E104" s="67"/>
      <c r="F104" s="42"/>
      <c r="G104" s="42"/>
      <c r="H104" s="42"/>
      <c r="I104" s="67">
        <v>0</v>
      </c>
    </row>
    <row r="105" spans="1:9" x14ac:dyDescent="0.25">
      <c r="A105" s="67">
        <f t="shared" si="10"/>
        <v>103</v>
      </c>
      <c r="B105" s="68">
        <v>37</v>
      </c>
      <c r="C105" s="68">
        <f t="shared" si="9"/>
        <v>20</v>
      </c>
      <c r="D105" s="69">
        <f t="shared" si="11"/>
        <v>0.54054054054054057</v>
      </c>
      <c r="E105" s="67"/>
      <c r="F105" s="42"/>
      <c r="G105" s="42"/>
      <c r="H105" s="42"/>
      <c r="I105" s="67">
        <v>0</v>
      </c>
    </row>
    <row r="106" spans="1:9" x14ac:dyDescent="0.25">
      <c r="A106" s="67">
        <f t="shared" si="10"/>
        <v>104</v>
      </c>
      <c r="B106" s="68">
        <v>17</v>
      </c>
      <c r="C106" s="68">
        <f t="shared" si="9"/>
        <v>10</v>
      </c>
      <c r="D106" s="69">
        <f t="shared" si="11"/>
        <v>0.58823529411764708</v>
      </c>
      <c r="E106" s="67"/>
      <c r="F106" s="42"/>
      <c r="G106" s="42"/>
      <c r="H106" s="42"/>
      <c r="I106" s="67">
        <v>0</v>
      </c>
    </row>
    <row r="107" spans="1:9" x14ac:dyDescent="0.25">
      <c r="A107" s="67">
        <f>A106+1</f>
        <v>105</v>
      </c>
      <c r="B107" s="68">
        <v>7</v>
      </c>
      <c r="C107" s="68">
        <f t="shared" si="9"/>
        <v>5</v>
      </c>
      <c r="D107" s="69">
        <f t="shared" si="11"/>
        <v>0.7142857142857143</v>
      </c>
      <c r="E107" s="67"/>
      <c r="F107" s="42"/>
      <c r="G107" s="42"/>
      <c r="H107" s="42"/>
      <c r="I107" s="67">
        <v>0</v>
      </c>
    </row>
    <row r="108" spans="1:9" x14ac:dyDescent="0.25">
      <c r="A108" s="67">
        <f>A107+1</f>
        <v>106</v>
      </c>
      <c r="B108" s="68">
        <v>2</v>
      </c>
      <c r="C108" s="68">
        <f t="shared" si="9"/>
        <v>2</v>
      </c>
      <c r="D108" s="69">
        <f t="shared" si="11"/>
        <v>1</v>
      </c>
      <c r="E108" s="67"/>
      <c r="F108" s="42"/>
      <c r="G108" s="42"/>
      <c r="H108" s="42"/>
      <c r="I108" s="67">
        <v>0</v>
      </c>
    </row>
    <row r="109" spans="1:9" x14ac:dyDescent="0.25">
      <c r="A109" s="17"/>
      <c r="B109" s="18"/>
      <c r="C109" s="18"/>
      <c r="D109" s="18"/>
      <c r="E109" s="17"/>
      <c r="I109" s="17"/>
    </row>
  </sheetData>
  <sheetProtection algorithmName="SHA-512" hashValue="j54wMbrqKpqxnsB/HLgbUxMpflb/17m2YVU8UyYVi1R2Xbxq12XILSua9Nw6i+z2iQV+e8eKKt5kWtgHwQYn9w==" saltValue="psBi6COL6u0pjYa6rg86rg==" spinCount="100000" sheet="1" objects="1" scenarios="1"/>
  <mergeCells count="3">
    <mergeCell ref="N22:N23"/>
    <mergeCell ref="O22:O23"/>
    <mergeCell ref="P22:U2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C82"/>
  <sheetViews>
    <sheetView rightToLeft="1" zoomScale="115" zoomScaleNormal="115" workbookViewId="0">
      <pane ySplit="2" topLeftCell="A3" activePane="bottomLeft" state="frozen"/>
      <selection activeCell="J6" sqref="J6"/>
      <selection pane="bottomLeft" sqref="A1:XFD1048576"/>
    </sheetView>
  </sheetViews>
  <sheetFormatPr defaultRowHeight="15" x14ac:dyDescent="0.25"/>
  <cols>
    <col min="1" max="1" width="5.85546875" style="39" customWidth="1"/>
    <col min="2" max="2" width="8.140625" style="39" bestFit="1" customWidth="1"/>
    <col min="3" max="3" width="3.42578125" style="39" bestFit="1" customWidth="1"/>
    <col min="4" max="4" width="13.7109375" style="37" customWidth="1"/>
    <col min="5" max="5" width="14.140625" style="37" customWidth="1"/>
    <col min="6" max="6" width="16.42578125" style="37" customWidth="1"/>
    <col min="7" max="7" width="9.7109375" style="37" bestFit="1" customWidth="1"/>
    <col min="8" max="8" width="9.5703125" style="37" bestFit="1" customWidth="1"/>
    <col min="9" max="9" width="11.7109375" style="37" bestFit="1" customWidth="1"/>
    <col min="10" max="10" width="12" style="37" customWidth="1"/>
    <col min="11" max="11" width="12.28515625" style="37" customWidth="1"/>
    <col min="12" max="12" width="16.7109375" style="37" customWidth="1"/>
    <col min="13" max="13" width="14.140625" style="37" customWidth="1"/>
    <col min="14" max="15" width="19.42578125" style="37" bestFit="1" customWidth="1"/>
    <col min="16" max="16" width="14.140625" style="37" customWidth="1"/>
    <col min="17" max="18" width="18.7109375" style="37" customWidth="1"/>
    <col min="19" max="19" width="14.7109375" style="37" customWidth="1"/>
    <col min="20" max="20" width="16.140625" style="37" customWidth="1"/>
    <col min="21" max="21" width="16" style="37" customWidth="1"/>
    <col min="22" max="22" width="18.7109375" style="37" customWidth="1"/>
    <col min="23" max="23" width="15.42578125" style="37" customWidth="1"/>
    <col min="24" max="24" width="16.5703125" style="37" customWidth="1"/>
    <col min="25" max="25" width="12.85546875" style="37" customWidth="1"/>
    <col min="26" max="26" width="10.85546875" style="37" bestFit="1" customWidth="1"/>
    <col min="27" max="27" width="10.5703125" style="37" customWidth="1"/>
    <col min="28" max="28" width="10.85546875" style="37" bestFit="1" customWidth="1"/>
    <col min="29" max="29" width="11.5703125" style="37" bestFit="1" customWidth="1"/>
    <col min="30" max="16384" width="9.140625" style="37"/>
  </cols>
  <sheetData>
    <row r="1" spans="1:29" ht="56.25" customHeight="1" x14ac:dyDescent="0.25">
      <c r="A1" s="114" t="s">
        <v>19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5"/>
    </row>
    <row r="2" spans="1:29" ht="47.25" x14ac:dyDescent="0.25">
      <c r="A2" s="80" t="s">
        <v>41</v>
      </c>
      <c r="B2" s="80" t="s">
        <v>73</v>
      </c>
      <c r="C2" s="81" t="s">
        <v>5</v>
      </c>
      <c r="D2" s="80" t="str">
        <f>"حق مشارکت هر سال با تعدیل فرضی" &amp; 'ورود اطلاعات'!E8*100 &amp; " درصد"</f>
        <v>حق مشارکت هر سال با تعدیل فرضی30 درصد</v>
      </c>
      <c r="E2" s="80" t="s">
        <v>16</v>
      </c>
      <c r="F2" s="80" t="str">
        <f>"سرمایه فوت هر سال با تعدیل فرضی" &amp; 'ورود اطلاعات'!E9*100 &amp; " درصد"</f>
        <v>سرمایه فوت هر سال با تعدیل فرضی30 درصد</v>
      </c>
      <c r="G2" s="80" t="s">
        <v>17</v>
      </c>
      <c r="H2" s="80" t="s">
        <v>18</v>
      </c>
      <c r="I2" s="80" t="s">
        <v>20</v>
      </c>
      <c r="J2" s="80" t="s">
        <v>23</v>
      </c>
      <c r="K2" s="80" t="s">
        <v>25</v>
      </c>
      <c r="L2" s="80" t="s">
        <v>26</v>
      </c>
      <c r="M2" s="80" t="s">
        <v>30</v>
      </c>
      <c r="N2" s="80" t="s">
        <v>74</v>
      </c>
      <c r="O2" s="80" t="s">
        <v>34</v>
      </c>
      <c r="P2" s="80" t="s">
        <v>31</v>
      </c>
      <c r="Q2" s="80" t="s">
        <v>35</v>
      </c>
      <c r="R2" s="80" t="s">
        <v>36</v>
      </c>
      <c r="S2" s="80" t="str">
        <f>CONCATENATE("سرمایه امراض ", 'ورود اطلاعات'!$H$22)</f>
        <v>سرمایه امراض ممتاز</v>
      </c>
      <c r="T2" s="82" t="s">
        <v>45</v>
      </c>
      <c r="U2" s="80" t="s">
        <v>38</v>
      </c>
      <c r="V2" s="80" t="s">
        <v>43</v>
      </c>
      <c r="W2" s="80" t="str">
        <f>CONCATENATE("،حق‌بیمه امراض خاص ",'ورود اطلاعات'!$H$22)</f>
        <v>،حق‌بیمه امراض خاص ممتاز</v>
      </c>
      <c r="X2" s="80" t="s">
        <v>44</v>
      </c>
      <c r="Y2" s="80" t="s">
        <v>64</v>
      </c>
      <c r="Z2" s="80" t="s">
        <v>65</v>
      </c>
      <c r="AA2" s="80" t="s">
        <v>66</v>
      </c>
      <c r="AB2" s="80" t="s">
        <v>68</v>
      </c>
    </row>
    <row r="3" spans="1:29" ht="21" customHeight="1" x14ac:dyDescent="0.25">
      <c r="A3" s="17">
        <v>1</v>
      </c>
      <c r="B3" s="17">
        <f>IF('ورود اطلاعات'!E6="","",IF('ورود اطلاعات'!E18&gt;0,'ورود اطلاعات'!E18+1,1))</f>
        <v>1</v>
      </c>
      <c r="C3" s="17">
        <f>IF('ورود اطلاعات'!E6="","",'ورود اطلاعات'!E6)</f>
        <v>40</v>
      </c>
      <c r="D3" s="18">
        <f>IF(C3&lt;=Rates!$O$1,'ورود اطلاعات'!E11,0)</f>
        <v>30000000</v>
      </c>
      <c r="E3" s="18">
        <f>D3</f>
        <v>30000000</v>
      </c>
      <c r="F3" s="18">
        <f>D3*'ورود اطلاعات'!E12</f>
        <v>540000000</v>
      </c>
      <c r="G3" s="18">
        <f>IF(A3&lt;=5,$D$3*10/100,0)</f>
        <v>3000000</v>
      </c>
      <c r="H3" s="18">
        <f>IF(A3&lt;=5,ROUND(F3*Rates!$O$9,0),0)</f>
        <v>540000</v>
      </c>
      <c r="I3" s="18">
        <f>IF(C3&lt;=Rates!$O$1,D3*Rates!$O$10,0)</f>
        <v>1050000</v>
      </c>
      <c r="J3" s="18">
        <f>IF(C3&lt;=Rates!$O$1,F3*(VLOOKUP(C3,Rates!$A$1:$D$108,4,FALSE))/(1.1^0.5),0)</f>
        <v>937425.03137673275</v>
      </c>
      <c r="K3" s="18">
        <f>IF(C3&lt;=Rates!$O$1,D3-(G3+H3+I3+J3)+('ورود اطلاعات'!$E$18+'ورود اطلاعات'!$E$19/12)*(1-0.03)*$D$3,0)</f>
        <v>24472574.968623266</v>
      </c>
      <c r="L3" s="18">
        <f>INT(K3*(1+(IF(B3&lt;=2,Rates!$O$5,IF(B3&lt;=4,Rates!$O$6,Rates!$O$7)))))</f>
        <v>27409283</v>
      </c>
      <c r="M3" s="18">
        <f>IF(C3&lt;=Rates!$O$1,(B3*D3)+(D3*'ورود اطلاعات'!$E$19/12),0)</f>
        <v>30000000</v>
      </c>
      <c r="N3" s="18">
        <f>IF(C3&lt;=Rates!$O$1,K3*(1+IF(A3&lt;=2,Rates!$O$5,IF(A3&lt;=4,Rates!$O$6,Rates!$O$7))+(Rates!$O$8-IF(A3&lt;=2,Rates!$O$5,IF(A3&lt;=4,Rates!$O$6,Rates!$O$7)))*(VLOOKUP('ورود اطلاعات'!$E$20,Rates!$V$1:$Y$5,4,FALSE))),0)</f>
        <v>29545847.537376765</v>
      </c>
      <c r="O3" s="18">
        <f>IFERROR(MAX(N3-M3,0),"")</f>
        <v>0</v>
      </c>
      <c r="P3" s="18">
        <f>IF(A3&lt;=7,VLOOKUP(A3,Rates!$K$1:$L$8,2,FALSE),1)*L3</f>
        <v>24668354.699999999</v>
      </c>
      <c r="Q3" s="18">
        <f>IF('ورود اطلاعات'!$E$16="بله",IF(C3&lt;=Rates!$O$4,D3*'ورود اطلاعات'!$H$16,0),0)</f>
        <v>1620000000</v>
      </c>
      <c r="R3" s="18">
        <f>IF('ورود اطلاعات'!$E$15="بله",IF(C3&lt;=Rates!$O$3,'ورود اطلاعات'!$H$15*D3,0),0)</f>
        <v>270000000</v>
      </c>
      <c r="S3" s="18">
        <f>IF('ورود اطلاعات'!$E$14="بله",IF(AND(C3&lt;=Rates!$O$2,'ورود اطلاعات'!$H$22="معمولی"),MIN(300000000,D3*'ورود اطلاعات'!$H$14), IF(AND(C3&lt;=Rates!$O$2,C3&gt;1),MIN($F$3,5000000000),0)),0)</f>
        <v>540000000</v>
      </c>
      <c r="T3" s="18">
        <f>IF(AND(C3&lt;=Rates!$O$11,'ورود اطلاعات'!$E$16="بله"),'ورود اطلاعات'!$N$23*('Offline Table'!Q3),0)</f>
        <v>324000000</v>
      </c>
      <c r="U3" s="18">
        <f>IFERROR(IF(C3&lt;=Rates!$O$1,0.8/1000,0)*Q3*(1+VLOOKUP('ورود اطلاعات'!$E$25,Rates!$Q$1:$T$9,4,FALSE)/100),"")</f>
        <v>1296000</v>
      </c>
      <c r="V3" s="18">
        <f>IFERROR(IF(C3&lt;=Rates!$O$2,0.8/1000,0)*R3*(1+VLOOKUP('ورود اطلاعات'!$E$25,Rates!$Q$1:$T$9,4,FALSE)/100),"")</f>
        <v>216000</v>
      </c>
      <c r="W3" s="18">
        <f>IF(AND(C3&lt;=Rates!$O$2,'ورود اطلاعات'!$H$22="معمولی"),VLOOKUP(C3,Rates!$A$1:$E$108,5,0),IF(AND(C3&lt;=Rates!$O$2,'ورود اطلاعات'!$H$22="پایه"),VLOOKUP(C3,Rates!$A$1:$F$108,6,0),IF(AND(C3&lt;=Rates!$O$2,'ورود اطلاعات'!$H$22="آسایش "),VLOOKUP(C3,Rates!$A$1:$G$108,7,0),IF(AND(C3&lt;=Rates!$O$2,'ورود اطلاعات'!$H$22="ممتاز"),VLOOKUP(C3,Rates!$A$1:$H$108,8,0),0))))*S3/1000000*(1+'ورود اطلاعات'!$E$22)</f>
        <v>2248697.1861458272</v>
      </c>
      <c r="X3" s="18">
        <f>IFERROR(IF(C3&lt;=Rates!$O$11,0.8/1000*T3*(1+VLOOKUP('ورود اطلاعات'!$E$25,Rates!$Q$1:$T$9,4,FALSE)/100),0),"")</f>
        <v>259200</v>
      </c>
      <c r="Y3" s="18">
        <f>(D3+U3+V3+W3+X3)*VLOOKUP('ورود اطلاعات'!$E$20,Rates!$V$1:$W$5,2,FALSE)</f>
        <v>0</v>
      </c>
      <c r="Z3" s="18">
        <f>IFERROR(U3+V3+W3+X3+Y3,"")</f>
        <v>4019897.1861458272</v>
      </c>
      <c r="AA3" s="18">
        <f>IFERROR(IF(C3&lt;=Rates!$O$1,VLOOKUP('ورود اطلاعات'!$E$20,Rates!$V$1:$X$5,3,FALSE),0),"")</f>
        <v>1</v>
      </c>
      <c r="AB3" s="18">
        <f>IFERROR(IF(C3&lt;=Rates!$O$1,(D3+Z3)/AA3,0),"")</f>
        <v>34019897.186145827</v>
      </c>
      <c r="AC3" s="83"/>
    </row>
    <row r="4" spans="1:29" x14ac:dyDescent="0.25">
      <c r="A4" s="17">
        <f>IF(A3&lt;&gt;"",IF(A3+1&lt;=(Rates!$O$1-'ورود اطلاعات'!$E$6),A3+1,""),"")</f>
        <v>2</v>
      </c>
      <c r="B4" s="17">
        <f>IF(C4&lt;=Rates!$O$1,B3+1,"")</f>
        <v>2</v>
      </c>
      <c r="C4" s="17">
        <f>IF(C3&lt;Rates!$O$1,C3+1,"")</f>
        <v>41</v>
      </c>
      <c r="D4" s="18">
        <f>IF(C4&lt;=Rates!$O$1,D3*(1+'ورود اطلاعات'!$E$8),0)</f>
        <v>39000000</v>
      </c>
      <c r="E4" s="18">
        <f>IF(C4&lt;=Rates!$O$1,INT(D4+E3),0)</f>
        <v>69000000</v>
      </c>
      <c r="F4" s="18">
        <f>IF(C4&lt;=Rates!$O$1,ROUND(F3*(1+'ورود اطلاعات'!$E$9),0),0)</f>
        <v>702000000</v>
      </c>
      <c r="G4" s="18">
        <f>IF(A4&lt;=5,IF(C4&lt;=Rates!$O$1,$D$3*5/100,0),0)</f>
        <v>1500000</v>
      </c>
      <c r="H4" s="18">
        <f>IF(A4&lt;=5,ROUND(F4*Rates!$O$9,0),0)</f>
        <v>702000</v>
      </c>
      <c r="I4" s="18">
        <f>IF(C4&lt;=Rates!$O$1,D4*Rates!$O$10,0)</f>
        <v>1365000.0000000002</v>
      </c>
      <c r="J4" s="18">
        <f>IF(C4&lt;=Rates!$O$1,F4*(VLOOKUP(C4,Rates!$A$1:$D$108,4,FALSE))/(1.1^0.5),0)</f>
        <v>1291856.519850798</v>
      </c>
      <c r="K4" s="18">
        <f>IF(C4&lt;=Rates!$O$1,D4-(G4+H4+I4+J4),0)</f>
        <v>34141143.480149202</v>
      </c>
      <c r="L4" s="18">
        <f>IF(C4&lt;=Rates!$O$1,(K4+L3)*(1+(IF(B4&lt;=2,Rates!$O$5,IF(B4&lt;=4,Rates!$O$6,Rates!$O$7)))),0)</f>
        <v>68936477.657767117</v>
      </c>
      <c r="M4" s="18">
        <f>IF(C4&lt;=Rates!$O$1,(B4*D4)+(D4*'ورود اطلاعات'!$E$19/12),0)</f>
        <v>78000000</v>
      </c>
      <c r="N4" s="18">
        <f>IF(C4&lt;=Rates!$O$1,K4*(1+IF(A4&lt;=2,Rates!$O$5,IF(A4&lt;=4,Rates!$O$6,Rates!$O$7))+(Rates!$O$8-IF(A4&lt;=2,Rates!$O$5,IF(A4&lt;=4,Rates!$O$6,Rates!$O$7)))*(VLOOKUP('ورود اطلاعات'!$E$20,Rates!$V$1:$Y$5,4,FALSE)))+N3*(1+IF(A4&lt;=2,Rates!$O$5,IF(A4&lt;=4,Rates!$O$6,Rates!$O$7))+(Rates!$O$8-IF(A4&lt;=2,Rates!$O$5,IF(A4&lt;=4,Rates!$O$6,Rates!$O$7)))),0)</f>
        <v>76889584.734366924</v>
      </c>
      <c r="O4" s="18">
        <f>IFERROR(MAX(N4-M4,0),"")</f>
        <v>0</v>
      </c>
      <c r="P4" s="18">
        <f>IF(A4&lt;=7,VLOOKUP(A4,Rates!$K$1:$L$8,2,FALSE),1)*L4</f>
        <v>62732194.668568082</v>
      </c>
      <c r="Q4" s="18">
        <f>IF('ورود اطلاعات'!$E$16="بله",IF(C4&lt;=Rates!$O$4,D4*'ورود اطلاعات'!$H$16,0),0)</f>
        <v>2106000000</v>
      </c>
      <c r="R4" s="18">
        <f>IF('ورود اطلاعات'!$E$15="بله",IF(C4&lt;=Rates!$O$3,'ورود اطلاعات'!$H$15*D4,0),0)</f>
        <v>351000000</v>
      </c>
      <c r="S4" s="18">
        <f>IF(AND(C4&gt;=0,C4&lt;=Rates!$O$2,F4&gt;0),MIN(S3*(1+'ورود اطلاعات'!$E$8),IF('ورود اطلاعات'!$H$22="معمولی", 300000000,5000000000)),0)</f>
        <v>702000000</v>
      </c>
      <c r="T4" s="18">
        <f>IF(AND(C4&lt;=Rates!$O$11,'ورود اطلاعات'!$E$16="بله"),'ورود اطلاعات'!$N$23*('Offline Table'!Q4),0)</f>
        <v>421200000</v>
      </c>
      <c r="U4" s="18">
        <f>IFERROR(IF(C4&lt;=Rates!$O$1,0.8/1000,0)*Q4*(1+VLOOKUP('ورود اطلاعات'!$E$25,Rates!$Q$1:$T$9,4,FALSE)/100),"")</f>
        <v>1684800</v>
      </c>
      <c r="V4" s="18">
        <f>IFERROR(IF(C4&lt;=Rates!$O$2,0.8/1000,0)*R4*(1+VLOOKUP('ورود اطلاعات'!$E$25,Rates!$Q$1:$T$9,4,FALSE)/100),"")</f>
        <v>280800</v>
      </c>
      <c r="W4" s="18">
        <f>IF(AND(C4&lt;=Rates!$O$2,'ورود اطلاعات'!$H$22="معمولی"),VLOOKUP(C4,Rates!$A$1:$E$108,5,0),IF(AND(C4&lt;=Rates!$O$2,'ورود اطلاعات'!$H$22="پایه"),VLOOKUP(C4,Rates!$A$1:$F$108,6,0),IF(AND(C4&lt;=Rates!$O$2,'ورود اطلاعات'!$H$22="آسایش "),VLOOKUP(C4,Rates!$A$1:$G$108,7,0),IF(AND(C4&lt;=Rates!$O$2,'ورود اطلاعات'!$H$22="ممتاز"),VLOOKUP(C4,Rates!$A$1:$H$108,8,0),0))))*S4/1000000*(1+'ورود اطلاعات'!$E$22)</f>
        <v>3247164.2415054888</v>
      </c>
      <c r="X4" s="18">
        <f>IFERROR(IF(C4&lt;=Rates!$O$11,0.8/1000*T4*(1+VLOOKUP('ورود اطلاعات'!$E$25,Rates!$Q$1:$T$9,4,FALSE)/100),0),"")</f>
        <v>336960</v>
      </c>
      <c r="Y4" s="18">
        <f>(D4+U4+V4+W4+X4)*VLOOKUP('ورود اطلاعات'!$E$20,Rates!$V$1:$W$5,2,FALSE)</f>
        <v>0</v>
      </c>
      <c r="Z4" s="18">
        <f t="shared" ref="Z4:Z67" si="0">IFERROR(U4+V4+W4+X4+Y4,"")</f>
        <v>5549724.2415054888</v>
      </c>
      <c r="AA4" s="18">
        <f>IFERROR(IF(C4&lt;=Rates!$O$1,VLOOKUP('ورود اطلاعات'!$E$20,Rates!$V$1:$X$5,3,FALSE),0),"")</f>
        <v>1</v>
      </c>
      <c r="AB4" s="18">
        <f>IFERROR(IF(C4&lt;=Rates!$O$1,(D4+Z4)/AA4,0),"")</f>
        <v>44549724.241505489</v>
      </c>
      <c r="AC4" s="84"/>
    </row>
    <row r="5" spans="1:29" x14ac:dyDescent="0.25">
      <c r="A5" s="17">
        <f>IF(A4&lt;&gt;"",IF(A4+1&lt;=(Rates!$O$1-'ورود اطلاعات'!$E$6),A4+1,""),"")</f>
        <v>3</v>
      </c>
      <c r="B5" s="17">
        <f>IF(C5&lt;=Rates!$O$1,B4+1,"")</f>
        <v>3</v>
      </c>
      <c r="C5" s="17">
        <f>IF(C4&lt;Rates!$O$1,C4+1,"")</f>
        <v>42</v>
      </c>
      <c r="D5" s="18">
        <f>IF(C5&lt;=Rates!$O$1,D4*(1+'ورود اطلاعات'!$E$8),0)</f>
        <v>50700000</v>
      </c>
      <c r="E5" s="18">
        <f>IF(C5&lt;=Rates!$O$1,INT(D5+E4),0)</f>
        <v>119700000</v>
      </c>
      <c r="F5" s="18">
        <f>IF(C5&lt;=Rates!$O$1,ROUND(F4*(1+'ورود اطلاعات'!$E$9),0),0)</f>
        <v>912600000</v>
      </c>
      <c r="G5" s="18">
        <f>IF(A5&lt;=5,IF(C5&lt;=Rates!$O$1,$D$3*5/100,0),0)</f>
        <v>1500000</v>
      </c>
      <c r="H5" s="18">
        <f>IF(A5&lt;=5,ROUND(F5*Rates!$O$9,0),0)</f>
        <v>912600</v>
      </c>
      <c r="I5" s="18">
        <f>IF(C5&lt;=Rates!$O$1,D5*Rates!$O$10,0)</f>
        <v>1774500.0000000002</v>
      </c>
      <c r="J5" s="18">
        <f>IF(C5&lt;=Rates!$O$1,F5*(VLOOKUP(C5,Rates!$A$1:$D$108,4,FALSE))/(1.1^0.5),0)</f>
        <v>1784360.4321998542</v>
      </c>
      <c r="K5" s="18">
        <f>IF(C5&lt;=Rates!$O$1,D5-(G5+H5+I5+J5),0)</f>
        <v>44728539.567800149</v>
      </c>
      <c r="L5" s="18">
        <f>IF(C5&lt;=Rates!$O$1,(K5+L4)*(1+(IF(B5&lt;=2,Rates!$O$5,IF(B5&lt;=4,Rates!$O$6,Rates!$O$7)))),0)</f>
        <v>127304819.29263535</v>
      </c>
      <c r="M5" s="18">
        <f>IF(C5&lt;=Rates!$O$1,(B5*D5)+(D5*'ورود اطلاعات'!$E$19/12),0)</f>
        <v>152100000</v>
      </c>
      <c r="N5" s="18">
        <f>IF(C5&lt;=Rates!$O$1,K5*(1+IF(A5&lt;=2,Rates!$O$5,IF(A5&lt;=4,Rates!$O$6,Rates!$O$7))+(Rates!$O$8-IF(A5&lt;=2,Rates!$O$5,IF(A5&lt;=4,Rates!$O$6,Rates!$O$7)))*(VLOOKUP('ورود اطلاعات'!$E$20,Rates!$V$1:$Y$5,4,FALSE)))+N4*(1+IF(A5&lt;=2,Rates!$O$5,IF(A5&lt;=4,Rates!$O$6,Rates!$O$7))+(Rates!$O$8-IF(A5&lt;=2,Rates!$O$5,IF(A5&lt;=4,Rates!$O$6,Rates!$O$7)))),0)</f>
        <v>146830097.07889804</v>
      </c>
      <c r="O5" s="18">
        <f>IFERROR(MAX(N5-M5,0),"")</f>
        <v>0</v>
      </c>
      <c r="P5" s="18">
        <f>IF(A5&lt;=7,VLOOKUP(A5,Rates!$K$1:$L$8,2,FALSE),1)*L5</f>
        <v>117120433.74922453</v>
      </c>
      <c r="Q5" s="18">
        <f>IF('ورود اطلاعات'!$E$16="بله",IF(C5&lt;=Rates!$O$4,D5*'ورود اطلاعات'!$H$16,0),0)</f>
        <v>2737800000</v>
      </c>
      <c r="R5" s="18">
        <f>IF('ورود اطلاعات'!$E$15="بله",IF(C5&lt;=Rates!$O$3,'ورود اطلاعات'!$H$15*D5,0),0)</f>
        <v>456300000</v>
      </c>
      <c r="S5" s="18">
        <f>IF(AND(C5&gt;=0,C5&lt;=Rates!$O$2,F5&gt;0),MIN(S4*(1+'ورود اطلاعات'!$E$8),IF('ورود اطلاعات'!$H$22="معمولی", 300000000,5000000000)),0)</f>
        <v>912600000</v>
      </c>
      <c r="T5" s="18">
        <f>IF(AND(C5&lt;=Rates!$O$11,'ورود اطلاعات'!$E$16="بله"),'ورود اطلاعات'!$N$23*('Offline Table'!Q5),0)</f>
        <v>547560000</v>
      </c>
      <c r="U5" s="18">
        <f>IFERROR(IF(C5&lt;=Rates!$O$1,0.8/1000,0)*Q5*(1+VLOOKUP('ورود اطلاعات'!$E$25,Rates!$Q$1:$T$9,4,FALSE)/100),"")</f>
        <v>2190240</v>
      </c>
      <c r="V5" s="18">
        <f>IFERROR(IF(C5&lt;=Rates!$O$2,0.8/1000,0)*R5*(1+VLOOKUP('ورود اطلاعات'!$E$25,Rates!$Q$1:$T$9,4,FALSE)/100),"")</f>
        <v>365040</v>
      </c>
      <c r="W5" s="18">
        <f>IF(AND(C5&lt;=Rates!$O$2,'ورود اطلاعات'!$H$22="معمولی"),VLOOKUP(C5,Rates!$A$1:$E$108,5,0),IF(AND(C5&lt;=Rates!$O$2,'ورود اطلاعات'!$H$22="پایه"),VLOOKUP(C5,Rates!$A$1:$F$108,6,0),IF(AND(C5&lt;=Rates!$O$2,'ورود اطلاعات'!$H$22="آسایش "),VLOOKUP(C5,Rates!$A$1:$G$108,7,0),IF(AND(C5&lt;=Rates!$O$2,'ورود اطلاعات'!$H$22="ممتاز"),VLOOKUP(C5,Rates!$A$1:$H$108,8,0),0))))*S5/1000000*(1+'ورود اطلاعات'!$E$22)</f>
        <v>4691355.087378473</v>
      </c>
      <c r="X5" s="18">
        <f>IFERROR(IF(C5&lt;=Rates!$O$11,0.8/1000*T5*(1+VLOOKUP('ورود اطلاعات'!$E$25,Rates!$Q$1:$T$9,4,FALSE)/100),0),"")</f>
        <v>438048</v>
      </c>
      <c r="Y5" s="18">
        <f>(D5+U5+V5+W5+X5)*VLOOKUP('ورود اطلاعات'!$E$20,Rates!$V$1:$W$5,2,FALSE)</f>
        <v>0</v>
      </c>
      <c r="Z5" s="18">
        <f t="shared" si="0"/>
        <v>7684683.087378473</v>
      </c>
      <c r="AA5" s="18">
        <f>IFERROR(IF(C5&lt;=Rates!$O$1,VLOOKUP('ورود اطلاعات'!$E$20,Rates!$V$1:$X$5,3,FALSE),0),"")</f>
        <v>1</v>
      </c>
      <c r="AB5" s="18">
        <f>IFERROR(IF(C5&lt;=Rates!$O$1,(D5+Z5)/AA5,0),"")</f>
        <v>58384683.087378472</v>
      </c>
    </row>
    <row r="6" spans="1:29" x14ac:dyDescent="0.25">
      <c r="A6" s="17">
        <f>IF(A5&lt;&gt;"",IF(A5+1&lt;=(Rates!$O$1-'ورود اطلاعات'!$E$6),A5+1,""),"")</f>
        <v>4</v>
      </c>
      <c r="B6" s="17">
        <f>IF(C6&lt;=Rates!$O$1,B5+1,"")</f>
        <v>4</v>
      </c>
      <c r="C6" s="17">
        <f>IF(C5&lt;Rates!$O$1,C5+1,"")</f>
        <v>43</v>
      </c>
      <c r="D6" s="18">
        <f>IF(C6&lt;=Rates!$O$1,D5*(1+'ورود اطلاعات'!$E$8),0)</f>
        <v>65910000</v>
      </c>
      <c r="E6" s="18">
        <f>IF(C6&lt;=Rates!$O$1,INT(D6+E5),0)</f>
        <v>185610000</v>
      </c>
      <c r="F6" s="18">
        <f>IF(C6&lt;=Rates!$O$1,ROUND(F5*(1+'ورود اطلاعات'!$E$9),0),0)</f>
        <v>1186380000</v>
      </c>
      <c r="G6" s="18">
        <f>IF(A6&lt;=5,IF(C6&lt;=Rates!$O$1,$D$3*5/100,0),0)</f>
        <v>1500000</v>
      </c>
      <c r="H6" s="18">
        <f>IF(A6&lt;=5,ROUND(F6*Rates!$O$9,0),0)</f>
        <v>1186380</v>
      </c>
      <c r="I6" s="18">
        <f>IF(C6&lt;=Rates!$O$1,D6*Rates!$O$10,0)</f>
        <v>2306850</v>
      </c>
      <c r="J6" s="18">
        <f>IF(C6&lt;=Rates!$O$1,F6*(VLOOKUP(C6,Rates!$A$1:$D$108,4,FALSE))/(1.1^0.5),0)</f>
        <v>2456916.0059661218</v>
      </c>
      <c r="K6" s="18">
        <f>IF(C6&lt;=Rates!$O$1,D6-(G6+H6+I6+J6),0)</f>
        <v>58459853.994033881</v>
      </c>
      <c r="L6" s="18">
        <f>IF(C6&lt;=Rates!$O$1,(K6+L5)*(1+(IF(B6&lt;=2,Rates!$O$5,IF(B6&lt;=4,Rates!$O$6,Rates!$O$7)))),0)</f>
        <v>208056434.08106956</v>
      </c>
      <c r="M6" s="18">
        <f>IF(C6&lt;=Rates!$O$1,(B6*D6)+(D6*'ورود اطلاعات'!$E$19/12),0)</f>
        <v>263640000</v>
      </c>
      <c r="N6" s="18">
        <f>IF(C6&lt;=Rates!$O$1,K6*(1+IF(A6&lt;=2,Rates!$O$5,IF(A6&lt;=4,Rates!$O$6,Rates!$O$7))+(Rates!$O$8-IF(A6&lt;=2,Rates!$O$5,IF(A6&lt;=4,Rates!$O$6,Rates!$O$7)))*(VLOOKUP('ورود اطلاعات'!$E$20,Rates!$V$1:$Y$5,4,FALSE)))+N5*(1+IF(A6&lt;=2,Rates!$O$5,IF(A6&lt;=4,Rates!$O$6,Rates!$O$7))+(Rates!$O$8-IF(A6&lt;=2,Rates!$O$5,IF(A6&lt;=4,Rates!$O$6,Rates!$O$7)))),0)</f>
        <v>247847462.03180605</v>
      </c>
      <c r="O6" s="18">
        <f t="shared" ref="O6:O67" si="1">IFERROR(MAX(N6-M6,0),"")</f>
        <v>0</v>
      </c>
      <c r="P6" s="18">
        <f>IF(A6&lt;=7,VLOOKUP(A6,Rates!$K$1:$L$8,2,FALSE),1)*L6</f>
        <v>193492483.69539469</v>
      </c>
      <c r="Q6" s="18">
        <f>IF('ورود اطلاعات'!$E$16="بله",IF(C6&lt;=Rates!$O$4,D6*'ورود اطلاعات'!$H$16,0),0)</f>
        <v>3559140000</v>
      </c>
      <c r="R6" s="18">
        <f>IF('ورود اطلاعات'!$E$15="بله",IF(C6&lt;=Rates!$O$3,'ورود اطلاعات'!$H$15*D6,0),0)</f>
        <v>593190000</v>
      </c>
      <c r="S6" s="18">
        <f>IF(AND(C6&gt;=0,C6&lt;=Rates!$O$2,F6&gt;0),MIN(S5*(1+'ورود اطلاعات'!$E$8),IF('ورود اطلاعات'!$H$22="معمولی", 300000000,5000000000)),0)</f>
        <v>1186380000</v>
      </c>
      <c r="T6" s="18">
        <f>IF(AND(C6&lt;=Rates!$O$11,'ورود اطلاعات'!$E$16="بله"),'ورود اطلاعات'!$N$23*('Offline Table'!Q6),0)</f>
        <v>711828000</v>
      </c>
      <c r="U6" s="18">
        <f>IFERROR(IF(C6&lt;=Rates!$O$1,0.8/1000,0)*Q6*(1+VLOOKUP('ورود اطلاعات'!$E$25,Rates!$Q$1:$T$9,4,FALSE)/100),"")</f>
        <v>2847312</v>
      </c>
      <c r="V6" s="18">
        <f>IFERROR(IF(C6&lt;=Rates!$O$2,0.8/1000,0)*R6*(1+VLOOKUP('ورود اطلاعات'!$E$25,Rates!$Q$1:$T$9,4,FALSE)/100),"")</f>
        <v>474552</v>
      </c>
      <c r="W6" s="18">
        <f>IF(AND(C6&lt;=Rates!$O$2,'ورود اطلاعات'!$H$22="معمولی"),VLOOKUP(C6,Rates!$A$1:$E$108,5,0),IF(AND(C6&lt;=Rates!$O$2,'ورود اطلاعات'!$H$22="پایه"),VLOOKUP(C6,Rates!$A$1:$F$108,6,0),IF(AND(C6&lt;=Rates!$O$2,'ورود اطلاعات'!$H$22="آسایش "),VLOOKUP(C6,Rates!$A$1:$G$108,7,0),IF(AND(C6&lt;=Rates!$O$2,'ورود اطلاعات'!$H$22="ممتاز"),VLOOKUP(C6,Rates!$A$1:$H$108,8,0),0))))*S6/1000000*(1+'ورود اطلاعات'!$E$22)</f>
        <v>6774282.6330920476</v>
      </c>
      <c r="X6" s="18">
        <f>IFERROR(IF(C6&lt;=Rates!$O$11,0.8/1000*T6*(1+VLOOKUP('ورود اطلاعات'!$E$25,Rates!$Q$1:$T$9,4,FALSE)/100),0),"")</f>
        <v>569462.4</v>
      </c>
      <c r="Y6" s="18">
        <f>(D6+U6+V6+W6+X6)*VLOOKUP('ورود اطلاعات'!$E$20,Rates!$V$1:$W$5,2,FALSE)</f>
        <v>0</v>
      </c>
      <c r="Z6" s="18">
        <f t="shared" si="0"/>
        <v>10665609.033092048</v>
      </c>
      <c r="AA6" s="18">
        <f>IFERROR(IF(C6&lt;=Rates!$O$1,VLOOKUP('ورود اطلاعات'!$E$20,Rates!$V$1:$X$5,3,FALSE),0),"")</f>
        <v>1</v>
      </c>
      <c r="AB6" s="18">
        <f>IFERROR(IF(C6&lt;=Rates!$O$1,(D6+Z6)/AA6,0),"")</f>
        <v>76575609.033092052</v>
      </c>
    </row>
    <row r="7" spans="1:29" x14ac:dyDescent="0.25">
      <c r="A7" s="17">
        <f>IF(A6&lt;&gt;"",IF(A6+1&lt;=(Rates!$O$1-'ورود اطلاعات'!$E$6),A6+1,""),"")</f>
        <v>5</v>
      </c>
      <c r="B7" s="17">
        <f>IF(C7&lt;=Rates!$O$1,B6+1,"")</f>
        <v>5</v>
      </c>
      <c r="C7" s="17">
        <f>IF(C6&lt;Rates!$O$1,C6+1,"")</f>
        <v>44</v>
      </c>
      <c r="D7" s="18">
        <f>IF(C7&lt;=Rates!$O$1,D6*(1+'ورود اطلاعات'!$E$8),0)</f>
        <v>85683000</v>
      </c>
      <c r="E7" s="18">
        <f>IF(C7&lt;=Rates!$O$1,INT(D7+E6),0)</f>
        <v>271293000</v>
      </c>
      <c r="F7" s="18">
        <f>IF(C7&lt;=Rates!$O$1,ROUND(F6*(1+'ورود اطلاعات'!$E$9),0),0)</f>
        <v>1542294000</v>
      </c>
      <c r="G7" s="18">
        <f>IF(A7&lt;=5,IF(C7&lt;=Rates!$O$1,$D$3*5/100,0),0)</f>
        <v>1500000</v>
      </c>
      <c r="H7" s="18">
        <f>IF(A7&lt;=5,ROUND(F7*Rates!$O$9,0),0)</f>
        <v>1542294</v>
      </c>
      <c r="I7" s="18">
        <f>IF(C7&lt;=Rates!$O$1,D7*Rates!$O$10,0)</f>
        <v>2998905.0000000005</v>
      </c>
      <c r="J7" s="18">
        <f>IF(C7&lt;=Rates!$O$1,F7*(VLOOKUP(C7,Rates!$A$1:$D$108,4,FALSE))/(1.1^0.5),0)</f>
        <v>3436306.7831721222</v>
      </c>
      <c r="K7" s="18">
        <f>IF(C7&lt;=Rates!$O$1,D7-(G7+H7+I7+J7),0)</f>
        <v>76205494.216827869</v>
      </c>
      <c r="L7" s="18">
        <f>IF(C7&lt;=Rates!$O$1,(K7+L6)*(1+(IF(B7&lt;=2,Rates!$O$5,IF(B7&lt;=4,Rates!$O$6,Rates!$O$7)))),0)</f>
        <v>312688121.12768722</v>
      </c>
      <c r="M7" s="18">
        <f>IF(C7&lt;=Rates!$O$1,(B7*D7)+(D7*'ورود اطلاعات'!$E$19/12),0)</f>
        <v>428415000</v>
      </c>
      <c r="N7" s="18">
        <f>IF(C7&lt;=Rates!$O$1,K7*(1+IF(A7&lt;=2,Rates!$O$5,IF(A7&lt;=4,Rates!$O$6,Rates!$O$7))+(Rates!$O$8-IF(A7&lt;=2,Rates!$O$5,IF(A7&lt;=4,Rates!$O$6,Rates!$O$7)))*(VLOOKUP('ورود اطلاعات'!$E$20,Rates!$V$1:$Y$5,4,FALSE)))+N6*(1+IF(A7&lt;=2,Rates!$O$5,IF(A7&lt;=4,Rates!$O$6,Rates!$O$7))+(Rates!$O$8-IF(A7&lt;=2,Rates!$O$5,IF(A7&lt;=4,Rates!$O$6,Rates!$O$7)))),0)</f>
        <v>391230561.21531546</v>
      </c>
      <c r="O7" s="18">
        <f t="shared" si="1"/>
        <v>0</v>
      </c>
      <c r="P7" s="18">
        <f>IF(A7&lt;=7,VLOOKUP(A7,Rates!$K$1:$L$8,2,FALSE),1)*L7</f>
        <v>293926833.86002594</v>
      </c>
      <c r="Q7" s="18">
        <f>IF('ورود اطلاعات'!$E$16="بله",IF(C7&lt;=Rates!$O$4,D7*'ورود اطلاعات'!$H$16,0),0)</f>
        <v>4626882000</v>
      </c>
      <c r="R7" s="18">
        <f>IF('ورود اطلاعات'!$E$15="بله",IF(C7&lt;=Rates!$O$3,'ورود اطلاعات'!$H$15*D7,0),0)</f>
        <v>771147000</v>
      </c>
      <c r="S7" s="18">
        <f>IF(AND(C7&gt;=0,C7&lt;=Rates!$O$2,F7&gt;0),MIN(S6*(1+'ورود اطلاعات'!$E$8),IF('ورود اطلاعات'!$H$22="معمولی", 300000000,5000000000)),0)</f>
        <v>1542294000</v>
      </c>
      <c r="T7" s="18">
        <f>IF(AND(C7&lt;=Rates!$O$11,'ورود اطلاعات'!$E$16="بله"),'ورود اطلاعات'!$N$23*('Offline Table'!Q7),0)</f>
        <v>925376400</v>
      </c>
      <c r="U7" s="18">
        <f>IFERROR(IF(C7&lt;=Rates!$O$1,0.8/1000,0)*Q7*(1+VLOOKUP('ورود اطلاعات'!$E$25,Rates!$Q$1:$T$9,4,FALSE)/100),"")</f>
        <v>3701505.6</v>
      </c>
      <c r="V7" s="18">
        <f>IFERROR(IF(C7&lt;=Rates!$O$2,0.8/1000,0)*R7*(1+VLOOKUP('ورود اطلاعات'!$E$25,Rates!$Q$1:$T$9,4,FALSE)/100),"")</f>
        <v>616917.6</v>
      </c>
      <c r="W7" s="18">
        <f>IF(AND(C7&lt;=Rates!$O$2,'ورود اطلاعات'!$H$22="معمولی"),VLOOKUP(C7,Rates!$A$1:$E$108,5,0),IF(AND(C7&lt;=Rates!$O$2,'ورود اطلاعات'!$H$22="پایه"),VLOOKUP(C7,Rates!$A$1:$F$108,6,0),IF(AND(C7&lt;=Rates!$O$2,'ورود اطلاعات'!$H$22="آسایش "),VLOOKUP(C7,Rates!$A$1:$G$108,7,0),IF(AND(C7&lt;=Rates!$O$2,'ورود اطلاعات'!$H$22="ممتاز"),VLOOKUP(C7,Rates!$A$1:$H$108,8,0),0))))*S7/1000000*(1+'ورود اطلاعات'!$E$22)</f>
        <v>9757719.0475938898</v>
      </c>
      <c r="X7" s="18">
        <f>IFERROR(IF(C7&lt;=Rates!$O$11,0.8/1000*T7*(1+VLOOKUP('ورود اطلاعات'!$E$25,Rates!$Q$1:$T$9,4,FALSE)/100),0),"")</f>
        <v>740301.12</v>
      </c>
      <c r="Y7" s="18">
        <f>(D7+U7+V7+W7+X7)*VLOOKUP('ورود اطلاعات'!$E$20,Rates!$V$1:$W$5,2,FALSE)</f>
        <v>0</v>
      </c>
      <c r="Z7" s="18">
        <f t="shared" si="0"/>
        <v>14816443.36759389</v>
      </c>
      <c r="AA7" s="18">
        <f>IFERROR(IF(C7&lt;=Rates!$O$1,VLOOKUP('ورود اطلاعات'!$E$20,Rates!$V$1:$X$5,3,FALSE),0),"")</f>
        <v>1</v>
      </c>
      <c r="AB7" s="18">
        <f>IFERROR(IF(C7&lt;=Rates!$O$1,(D7+Z7)/AA7,0),"")</f>
        <v>100499443.36759388</v>
      </c>
    </row>
    <row r="8" spans="1:29" x14ac:dyDescent="0.25">
      <c r="A8" s="17">
        <f>IF(A7&lt;&gt;"",IF(A7+1&lt;=(Rates!$O$1-'ورود اطلاعات'!$E$6),A7+1,""),"")</f>
        <v>6</v>
      </c>
      <c r="B8" s="17">
        <f>IF(C8&lt;=Rates!$O$1,B7+1,"")</f>
        <v>6</v>
      </c>
      <c r="C8" s="17">
        <f>IF(C7&lt;Rates!$O$1,C7+1,"")</f>
        <v>45</v>
      </c>
      <c r="D8" s="18">
        <f>IF(C8&lt;=Rates!$O$1,D7*(1+'ورود اطلاعات'!$E$8),0)</f>
        <v>111387900</v>
      </c>
      <c r="E8" s="18">
        <f>IF(C8&lt;=Rates!$O$1,INT(D8+E7),0)</f>
        <v>382680900</v>
      </c>
      <c r="F8" s="18">
        <f>IF(C8&lt;=Rates!$O$1,ROUND(F7*(1+'ورود اطلاعات'!$E$9),0),0)</f>
        <v>2004982200</v>
      </c>
      <c r="G8" s="18">
        <f>IF(A8&lt;=5,IF(C8&lt;=Rates!$O$1,$D$3*5/100,0),0)</f>
        <v>0</v>
      </c>
      <c r="H8" s="18">
        <f>IF(A8&lt;=5,ROUND(F8*Rates!$O$9,0),0)</f>
        <v>0</v>
      </c>
      <c r="I8" s="18">
        <f>IF(C8&lt;=Rates!$O$1,D8*Rates!$O$10,0)</f>
        <v>3898576.5000000005</v>
      </c>
      <c r="J8" s="18">
        <f>IF(C8&lt;=Rates!$O$1,F8*(VLOOKUP(C8,Rates!$A$1:$D$108,4,FALSE))/(1.1^0.5),0)</f>
        <v>4825243.2932286505</v>
      </c>
      <c r="K8" s="18">
        <f>IF(C8&lt;=Rates!$O$1,D8-(G8+H8+I8+J8),0)</f>
        <v>102664080.20677134</v>
      </c>
      <c r="L8" s="18">
        <f>IF(C8&lt;=Rates!$O$1,(K8+L7)*(1+(IF(B8&lt;=2,Rates!$O$5,IF(B8&lt;=4,Rates!$O$6,Rates!$O$7)))),0)</f>
        <v>456887421.46790451</v>
      </c>
      <c r="M8" s="18">
        <f>IF(C8&lt;=Rates!$O$1,(B8*D8)+(D8*'ورود اطلاعات'!$E$19/12),0)</f>
        <v>668327400</v>
      </c>
      <c r="N8" s="18">
        <f>IF(C8&lt;=Rates!$O$1,K8*(1+IF(A8&lt;=2,Rates!$O$5,IF(A8&lt;=4,Rates!$O$6,Rates!$O$7))+(Rates!$O$8-IF(A8&lt;=2,Rates!$O$5,IF(A8&lt;=4,Rates!$O$6,Rates!$O$7)))*(VLOOKUP('ورود اطلاعات'!$E$20,Rates!$V$1:$Y$5,4,FALSE)))+N7*(1+IF(A8&lt;=2,Rates!$O$5,IF(A8&lt;=4,Rates!$O$6,Rates!$O$7))+(Rates!$O$8-IF(A8&lt;=2,Rates!$O$5,IF(A8&lt;=4,Rates!$O$6,Rates!$O$7)))),0)</f>
        <v>596281175.71173847</v>
      </c>
      <c r="O8" s="18">
        <f t="shared" si="1"/>
        <v>0</v>
      </c>
      <c r="P8" s="18">
        <f>IF(A8&lt;=7,VLOOKUP(A8,Rates!$K$1:$L$8,2,FALSE),1)*L8</f>
        <v>434043050.39450926</v>
      </c>
      <c r="Q8" s="18">
        <f>IF('ورود اطلاعات'!$E$16="بله",IF(C8&lt;=Rates!$O$4,D8*'ورود اطلاعات'!$H$16,0),0)</f>
        <v>6014946600</v>
      </c>
      <c r="R8" s="18">
        <f>IF('ورود اطلاعات'!$E$15="بله",IF(C8&lt;=Rates!$O$3,'ورود اطلاعات'!$H$15*D8,0),0)</f>
        <v>1002491100</v>
      </c>
      <c r="S8" s="18">
        <f>IF(AND(C8&gt;=0,C8&lt;=Rates!$O$2,F8&gt;0),MIN(S7*(1+'ورود اطلاعات'!$E$8),IF('ورود اطلاعات'!$H$22="معمولی", 300000000,5000000000)),0)</f>
        <v>2004982200</v>
      </c>
      <c r="T8" s="18">
        <f>IF(AND(C8&lt;=Rates!$O$11,'ورود اطلاعات'!$E$16="بله"),'ورود اطلاعات'!$N$23*('Offline Table'!Q8),0)</f>
        <v>1202989320</v>
      </c>
      <c r="U8" s="18">
        <f>IFERROR(IF(C8&lt;=Rates!$O$1,0.8/1000,0)*Q8*(1+VLOOKUP('ورود اطلاعات'!$E$25,Rates!$Q$1:$T$9,4,FALSE)/100),"")</f>
        <v>4811957.28</v>
      </c>
      <c r="V8" s="18">
        <f>IFERROR(IF(C8&lt;=Rates!$O$2,0.8/1000,0)*R8*(1+VLOOKUP('ورود اطلاعات'!$E$25,Rates!$Q$1:$T$9,4,FALSE)/100),"")</f>
        <v>801992.88</v>
      </c>
      <c r="W8" s="18">
        <f>IF(AND(C8&lt;=Rates!$O$2,'ورود اطلاعات'!$H$22="معمولی"),VLOOKUP(C8,Rates!$A$1:$E$108,5,0),IF(AND(C8&lt;=Rates!$O$2,'ورود اطلاعات'!$H$22="پایه"),VLOOKUP(C8,Rates!$A$1:$F$108,6,0),IF(AND(C8&lt;=Rates!$O$2,'ورود اطلاعات'!$H$22="آسایش "),VLOOKUP(C8,Rates!$A$1:$G$108,7,0),IF(AND(C8&lt;=Rates!$O$2,'ورود اطلاعات'!$H$22="ممتاز"),VLOOKUP(C8,Rates!$A$1:$H$108,8,0),0))))*S8/1000000*(1+'ورود اطلاعات'!$E$22)</f>
        <v>14060714.006226175</v>
      </c>
      <c r="X8" s="18">
        <f>IFERROR(IF(C8&lt;=Rates!$O$11,0.8/1000*T8*(1+VLOOKUP('ورود اطلاعات'!$E$25,Rates!$Q$1:$T$9,4,FALSE)/100),0),"")</f>
        <v>962391.45600000001</v>
      </c>
      <c r="Y8" s="18">
        <f>(D8+U8+V8+W8+X8)*VLOOKUP('ورود اطلاعات'!$E$20,Rates!$V$1:$W$5,2,FALSE)</f>
        <v>0</v>
      </c>
      <c r="Z8" s="18">
        <f t="shared" si="0"/>
        <v>20637055.622226175</v>
      </c>
      <c r="AA8" s="18">
        <f>IFERROR(IF(C8&lt;=Rates!$O$1,VLOOKUP('ورود اطلاعات'!$E$20,Rates!$V$1:$X$5,3,FALSE),0),"")</f>
        <v>1</v>
      </c>
      <c r="AB8" s="18">
        <f>IFERROR(IF(C8&lt;=Rates!$O$1,(D8+Z8)/AA8,0),"")</f>
        <v>132024955.62222618</v>
      </c>
    </row>
    <row r="9" spans="1:29" x14ac:dyDescent="0.25">
      <c r="A9" s="17">
        <f>IF(A8&lt;&gt;"",IF(A8+1&lt;=(Rates!$O$1-'ورود اطلاعات'!$E$6),A8+1,""),"")</f>
        <v>7</v>
      </c>
      <c r="B9" s="17">
        <f>IF(C9&lt;=Rates!$O$1,B8+1,"")</f>
        <v>7</v>
      </c>
      <c r="C9" s="17">
        <f>IF(C8&lt;Rates!$O$1,C8+1,"")</f>
        <v>46</v>
      </c>
      <c r="D9" s="18">
        <f>IF(C9&lt;=Rates!$O$1,D8*(1+'ورود اطلاعات'!$E$8),0)</f>
        <v>144804270</v>
      </c>
      <c r="E9" s="18">
        <f>IF(C9&lt;=Rates!$O$1,INT(D9+E8),0)</f>
        <v>527485170</v>
      </c>
      <c r="F9" s="18">
        <f>IF(C9&lt;=Rates!$O$1,ROUND(F8*(1+'ورود اطلاعات'!$E$9),0),0)</f>
        <v>2606476860</v>
      </c>
      <c r="G9" s="18">
        <f>IF(A9&lt;=5,IF(C9&lt;=Rates!$O$1,$D$3*5/100,0),0)</f>
        <v>0</v>
      </c>
      <c r="H9" s="18">
        <f>IF(A9&lt;=5,ROUND(F9*Rates!$O$9,0),0)</f>
        <v>0</v>
      </c>
      <c r="I9" s="18">
        <f>IF(C9&lt;=Rates!$O$1,D9*Rates!$O$10,0)</f>
        <v>5068149.45</v>
      </c>
      <c r="J9" s="18">
        <f>IF(C9&lt;=Rates!$O$1,F9*(VLOOKUP(C9,Rates!$A$1:$D$108,4,FALSE))/(1.1^0.5),0)</f>
        <v>6741688.3272393448</v>
      </c>
      <c r="K9" s="18">
        <f>IF(C9&lt;=Rates!$O$1,D9-(G9+H9+I9+J9),0)</f>
        <v>132994432.22276065</v>
      </c>
      <c r="L9" s="18">
        <f>IF(C9&lt;=Rates!$O$1,(K9+L8)*(1+(IF(B9&lt;=2,Rates!$O$5,IF(B9&lt;=4,Rates!$O$6,Rates!$O$7)))),0)</f>
        <v>648870039.05973172</v>
      </c>
      <c r="M9" s="18">
        <f>IF(C9&lt;=Rates!$O$1,(B9*D9)+(D9*'ورود اطلاعات'!$E$19/12),0)</f>
        <v>1013629890</v>
      </c>
      <c r="N9" s="18">
        <f>IF(C9&lt;=Rates!$O$1,K9*(1+IF(A9&lt;=2,Rates!$O$5,IF(A9&lt;=4,Rates!$O$6,Rates!$O$7))+(Rates!$O$8-IF(A9&lt;=2,Rates!$O$5,IF(A9&lt;=4,Rates!$O$6,Rates!$O$7)))*(VLOOKUP('ورود اطلاعات'!$E$20,Rates!$V$1:$Y$5,4,FALSE)))+N8*(1+IF(A9&lt;=2,Rates!$O$5,IF(A9&lt;=4,Rates!$O$6,Rates!$O$7))+(Rates!$O$8-IF(A9&lt;=2,Rates!$O$5,IF(A9&lt;=4,Rates!$O$6,Rates!$O$7)))),0)</f>
        <v>880457653.20512235</v>
      </c>
      <c r="O9" s="18">
        <f t="shared" si="1"/>
        <v>0</v>
      </c>
      <c r="P9" s="18">
        <f>IF(A9&lt;=7,VLOOKUP(A9,Rates!$K$1:$L$8,2,FALSE),1)*L9</f>
        <v>622915237.49734247</v>
      </c>
      <c r="Q9" s="18">
        <f>IF('ورود اطلاعات'!$E$16="بله",IF(C9&lt;=Rates!$O$4,D9*'ورود اطلاعات'!$H$16,0),0)</f>
        <v>7819430580</v>
      </c>
      <c r="R9" s="18">
        <f>IF('ورود اطلاعات'!$E$15="بله",IF(C9&lt;=Rates!$O$3,'ورود اطلاعات'!$H$15*D9,0),0)</f>
        <v>1303238430</v>
      </c>
      <c r="S9" s="18">
        <f>IF(AND(C9&gt;=0,C9&lt;=Rates!$O$2,F9&gt;0),MIN(S8*(1+'ورود اطلاعات'!$E$8),IF('ورود اطلاعات'!$H$22="معمولی", 300000000,5000000000)),0)</f>
        <v>2606476860</v>
      </c>
      <c r="T9" s="18">
        <f>IF(AND(C9&lt;=Rates!$O$11,'ورود اطلاعات'!$E$16="بله"),'ورود اطلاعات'!$N$23*('Offline Table'!Q9),0)</f>
        <v>1563886116</v>
      </c>
      <c r="U9" s="18">
        <f>IFERROR(IF(C9&lt;=Rates!$O$1,0.8/1000,0)*Q9*(1+VLOOKUP('ورود اطلاعات'!$E$25,Rates!$Q$1:$T$9,4,FALSE)/100),"")</f>
        <v>6255544.4640000006</v>
      </c>
      <c r="V9" s="18">
        <f>IFERROR(IF(C9&lt;=Rates!$O$2,0.8/1000,0)*R9*(1+VLOOKUP('ورود اطلاعات'!$E$25,Rates!$Q$1:$T$9,4,FALSE)/100),"")</f>
        <v>1042590.7440000001</v>
      </c>
      <c r="W9" s="18">
        <f>IF(AND(C9&lt;=Rates!$O$2,'ورود اطلاعات'!$H$22="معمولی"),VLOOKUP(C9,Rates!$A$1:$E$108,5,0),IF(AND(C9&lt;=Rates!$O$2,'ورود اطلاعات'!$H$22="پایه"),VLOOKUP(C9,Rates!$A$1:$F$108,6,0),IF(AND(C9&lt;=Rates!$O$2,'ورود اطلاعات'!$H$22="آسایش "),VLOOKUP(C9,Rates!$A$1:$G$108,7,0),IF(AND(C9&lt;=Rates!$O$2,'ورود اطلاعات'!$H$22="ممتاز"),VLOOKUP(C9,Rates!$A$1:$H$108,8,0),0))))*S9/1000000*(1+'ورود اطلاعات'!$E$22)</f>
        <v>20048572.279359296</v>
      </c>
      <c r="X9" s="18">
        <f>IFERROR(IF(C9&lt;=Rates!$O$11,0.8/1000*T9*(1+VLOOKUP('ورود اطلاعات'!$E$25,Rates!$Q$1:$T$9,4,FALSE)/100),0),"")</f>
        <v>1251108.8928</v>
      </c>
      <c r="Y9" s="18">
        <f>(D9+U9+V9+W9+X9)*VLOOKUP('ورود اطلاعات'!$E$20,Rates!$V$1:$W$5,2,FALSE)</f>
        <v>0</v>
      </c>
      <c r="Z9" s="18">
        <f t="shared" si="0"/>
        <v>28597816.380159296</v>
      </c>
      <c r="AA9" s="18">
        <f>IFERROR(IF(C9&lt;=Rates!$O$1,VLOOKUP('ورود اطلاعات'!$E$20,Rates!$V$1:$X$5,3,FALSE),0),"")</f>
        <v>1</v>
      </c>
      <c r="AB9" s="18">
        <f>IFERROR(IF(C9&lt;=Rates!$O$1,(D9+Z9)/AA9,0),"")</f>
        <v>173402086.38015929</v>
      </c>
    </row>
    <row r="10" spans="1:29" x14ac:dyDescent="0.25">
      <c r="A10" s="17">
        <f>IF(A9&lt;&gt;"",IF(A9+1&lt;=(Rates!$O$1-'ورود اطلاعات'!$E$6),A9+1,""),"")</f>
        <v>8</v>
      </c>
      <c r="B10" s="17">
        <f>IF(C10&lt;=Rates!$O$1,B9+1,"")</f>
        <v>8</v>
      </c>
      <c r="C10" s="17">
        <f>IF(C9&lt;Rates!$O$1,C9+1,"")</f>
        <v>47</v>
      </c>
      <c r="D10" s="18">
        <f>IF(C10&lt;=Rates!$O$1,D9*(1+'ورود اطلاعات'!$E$8),0)</f>
        <v>188245551</v>
      </c>
      <c r="E10" s="18">
        <f>IF(C10&lt;=Rates!$O$1,INT(D10+E9),0)</f>
        <v>715730721</v>
      </c>
      <c r="F10" s="18">
        <f>IF(C10&lt;=Rates!$O$1,ROUND(F9*(1+'ورود اطلاعات'!$E$9),0),0)</f>
        <v>3388419918</v>
      </c>
      <c r="G10" s="18">
        <f>IF(A10&lt;=5,IF(C10&lt;=Rates!$O$1,$D$3*5/100,0),0)</f>
        <v>0</v>
      </c>
      <c r="H10" s="18">
        <f>IF(A10&lt;=5,ROUND(F10*Rates!$O$9,0),0)</f>
        <v>0</v>
      </c>
      <c r="I10" s="18">
        <f>IF(C10&lt;=Rates!$O$1,D10*Rates!$O$10,0)</f>
        <v>6588594.2850000011</v>
      </c>
      <c r="J10" s="18">
        <f>IF(C10&lt;=Rates!$O$1,F10*(VLOOKUP(C10,Rates!$A$1:$D$108,4,FALSE))/(1.1^0.5),0)</f>
        <v>9482740.9372287523</v>
      </c>
      <c r="K10" s="18">
        <f>IF(C10&lt;=Rates!$O$1,D10-(G10+H10+I10+J10),0)</f>
        <v>172174215.77777123</v>
      </c>
      <c r="L10" s="18">
        <f>IF(C10&lt;=Rates!$O$1,(K10+L9)*(1+(IF(B10&lt;=2,Rates!$O$5,IF(B10&lt;=4,Rates!$O$6,Rates!$O$7)))),0)</f>
        <v>903148680.3212533</v>
      </c>
      <c r="M10" s="18">
        <f>IF(C10&lt;=Rates!$O$1,(B10*D10)+(D10*'ورود اطلاعات'!$E$19/12),0)</f>
        <v>1505964408</v>
      </c>
      <c r="N10" s="18">
        <f>IF(C10&lt;=Rates!$O$1,K10*(1+IF(A10&lt;=2,Rates!$O$5,IF(A10&lt;=4,Rates!$O$6,Rates!$O$7))+(Rates!$O$8-IF(A10&lt;=2,Rates!$O$5,IF(A10&lt;=4,Rates!$O$6,Rates!$O$7)))*(VLOOKUP('ورود اطلاعات'!$E$20,Rates!$V$1:$Y$5,4,FALSE)))+N9*(1+IF(A10&lt;=2,Rates!$O$5,IF(A10&lt;=4,Rates!$O$6,Rates!$O$7))+(Rates!$O$8-IF(A10&lt;=2,Rates!$O$5,IF(A10&lt;=4,Rates!$O$6,Rates!$O$7)))),0)</f>
        <v>1270847091.2369277</v>
      </c>
      <c r="O10" s="18">
        <f t="shared" si="1"/>
        <v>0</v>
      </c>
      <c r="P10" s="18">
        <f>IF(A10&lt;=7,VLOOKUP(A10,Rates!$K$1:$L$8,2,FALSE),1)*L10</f>
        <v>903148680.3212533</v>
      </c>
      <c r="Q10" s="18">
        <f>IF('ورود اطلاعات'!$E$16="بله",IF(C10&lt;=Rates!$O$4,D10*'ورود اطلاعات'!$H$16,0),0)</f>
        <v>10165259754</v>
      </c>
      <c r="R10" s="18">
        <f>IF('ورود اطلاعات'!$E$15="بله",IF(C10&lt;=Rates!$O$3,'ورود اطلاعات'!$H$15*D10,0),0)</f>
        <v>1694209959</v>
      </c>
      <c r="S10" s="18">
        <f>IF(AND(C10&gt;=0,C10&lt;=Rates!$O$2,F10&gt;0),MIN(S9*(1+'ورود اطلاعات'!$E$8),IF('ورود اطلاعات'!$H$22="معمولی", 300000000,5000000000)),0)</f>
        <v>3388419918</v>
      </c>
      <c r="T10" s="18">
        <f>IF(AND(C10&lt;=Rates!$O$11,'ورود اطلاعات'!$E$16="بله"),'ورود اطلاعات'!$N$23*('Offline Table'!Q10),0)</f>
        <v>2033051950.8000002</v>
      </c>
      <c r="U10" s="18">
        <f>IFERROR(IF(C10&lt;=Rates!$O$1,0.8/1000,0)*Q10*(1+VLOOKUP('ورود اطلاعات'!$E$25,Rates!$Q$1:$T$9,4,FALSE)/100),"")</f>
        <v>8132207.8032</v>
      </c>
      <c r="V10" s="18">
        <f>IFERROR(IF(C10&lt;=Rates!$O$2,0.8/1000,0)*R10*(1+VLOOKUP('ورود اطلاعات'!$E$25,Rates!$Q$1:$T$9,4,FALSE)/100),"")</f>
        <v>1355367.9672000001</v>
      </c>
      <c r="W10" s="18">
        <f>IF(AND(C10&lt;=Rates!$O$2,'ورود اطلاعات'!$H$22="معمولی"),VLOOKUP(C10,Rates!$A$1:$E$108,5,0),IF(AND(C10&lt;=Rates!$O$2,'ورود اطلاعات'!$H$22="پایه"),VLOOKUP(C10,Rates!$A$1:$F$108,6,0),IF(AND(C10&lt;=Rates!$O$2,'ورود اطلاعات'!$H$22="آسایش "),VLOOKUP(C10,Rates!$A$1:$G$108,7,0),IF(AND(C10&lt;=Rates!$O$2,'ورود اطلاعات'!$H$22="ممتاز"),VLOOKUP(C10,Rates!$A$1:$H$108,8,0),0))))*S10/1000000*(1+'ورود اطلاعات'!$E$22)</f>
        <v>28402365.967184167</v>
      </c>
      <c r="X10" s="18">
        <f>IFERROR(IF(C10&lt;=Rates!$O$11,0.8/1000*T10*(1+VLOOKUP('ورود اطلاعات'!$E$25,Rates!$Q$1:$T$9,4,FALSE)/100),0),"")</f>
        <v>1626441.5606400003</v>
      </c>
      <c r="Y10" s="18">
        <f>(D10+U10+V10+W10+X10)*VLOOKUP('ورود اطلاعات'!$E$20,Rates!$V$1:$W$5,2,FALSE)</f>
        <v>0</v>
      </c>
      <c r="Z10" s="18">
        <f t="shared" si="0"/>
        <v>39516383.298224166</v>
      </c>
      <c r="AA10" s="18">
        <f>IFERROR(IF(C10&lt;=Rates!$O$1,VLOOKUP('ورود اطلاعات'!$E$20,Rates!$V$1:$X$5,3,FALSE),0),"")</f>
        <v>1</v>
      </c>
      <c r="AB10" s="18">
        <f>IFERROR(IF(C10&lt;=Rates!$O$1,(D10+Z10)/AA10,0),"")</f>
        <v>227761934.29822415</v>
      </c>
    </row>
    <row r="11" spans="1:29" x14ac:dyDescent="0.25">
      <c r="A11" s="17">
        <f>IF(A10&lt;&gt;"",IF(A10+1&lt;=(Rates!$O$1-'ورود اطلاعات'!$E$6),A10+1,""),"")</f>
        <v>9</v>
      </c>
      <c r="B11" s="17">
        <f>IF(C11&lt;=Rates!$O$1,B10+1,"")</f>
        <v>9</v>
      </c>
      <c r="C11" s="17">
        <f>IF(C10&lt;Rates!$O$1,C10+1,"")</f>
        <v>48</v>
      </c>
      <c r="D11" s="18">
        <f>IF(C11&lt;=Rates!$O$1,D10*(1+'ورود اطلاعات'!$E$8),0)</f>
        <v>244719216.30000001</v>
      </c>
      <c r="E11" s="18">
        <f>IF(C11&lt;=Rates!$O$1,INT(D11+E10),0)</f>
        <v>960449937</v>
      </c>
      <c r="F11" s="18">
        <f>IF(C11&lt;=Rates!$O$1,ROUND(F10*(1+'ورود اطلاعات'!$E$9),0),0)</f>
        <v>4404945893</v>
      </c>
      <c r="G11" s="18">
        <f>IF(A11&lt;=5,IF(C11&lt;=Rates!$O$1,$D$3*5/100,0),0)</f>
        <v>0</v>
      </c>
      <c r="H11" s="18">
        <f>IF(A11&lt;=5,ROUND(F11*Rates!$O$9,0),0)</f>
        <v>0</v>
      </c>
      <c r="I11" s="18">
        <f>IF(C11&lt;=Rates!$O$1,D11*Rates!$O$10,0)</f>
        <v>8565172.5705000013</v>
      </c>
      <c r="J11" s="18">
        <f>IF(C11&lt;=Rates!$O$1,F11*(VLOOKUP(C11,Rates!$A$1:$D$108,4,FALSE))/(1.1^0.5),0)</f>
        <v>13405496.51726323</v>
      </c>
      <c r="K11" s="18">
        <f>IF(C11&lt;=Rates!$O$1,D11-(G11+H11+I11+J11),0)</f>
        <v>222748547.21223679</v>
      </c>
      <c r="L11" s="18">
        <f>IF(C11&lt;=Rates!$O$1,(K11+L10)*(1+(IF(B11&lt;=2,Rates!$O$5,IF(B11&lt;=4,Rates!$O$6,Rates!$O$7)))),0)</f>
        <v>1238486950.2868392</v>
      </c>
      <c r="M11" s="18">
        <f>IF(C11&lt;=Rates!$O$1,(B11*D11)+(D11*'ورود اطلاعات'!$E$19/12),0)</f>
        <v>2202472946.7000003</v>
      </c>
      <c r="N11" s="18">
        <f>IF(C11&lt;=Rates!$O$1,K11*(1+IF(A11&lt;=2,Rates!$O$5,IF(A11&lt;=4,Rates!$O$6,Rates!$O$7))+(Rates!$O$8-IF(A11&lt;=2,Rates!$O$5,IF(A11&lt;=4,Rates!$O$6,Rates!$O$7)))*(VLOOKUP('ورود اطلاعات'!$E$20,Rates!$V$1:$Y$5,4,FALSE)))+N10*(1+IF(A11&lt;=2,Rates!$O$5,IF(A11&lt;=4,Rates!$O$6,Rates!$O$7))+(Rates!$O$8-IF(A11&lt;=2,Rates!$O$5,IF(A11&lt;=4,Rates!$O$6,Rates!$O$7)))),0)</f>
        <v>1803224592.1276867</v>
      </c>
      <c r="O11" s="18">
        <f t="shared" si="1"/>
        <v>0</v>
      </c>
      <c r="P11" s="18">
        <f>IF(A11&lt;=7,VLOOKUP(A11,Rates!$K$1:$L$8,2,FALSE),1)*L11</f>
        <v>1238486950.2868392</v>
      </c>
      <c r="Q11" s="18">
        <f>IF('ورود اطلاعات'!$E$16="بله",IF(C11&lt;=Rates!$O$4,D11*'ورود اطلاعات'!$H$16,0),0)</f>
        <v>13214837680.200001</v>
      </c>
      <c r="R11" s="18">
        <f>IF('ورود اطلاعات'!$E$15="بله",IF(C11&lt;=Rates!$O$3,'ورود اطلاعات'!$H$15*D11,0),0)</f>
        <v>2202472946.7000003</v>
      </c>
      <c r="S11" s="18">
        <f>IF(AND(C11&gt;=0,C11&lt;=Rates!$O$2,F11&gt;0),MIN(S10*(1+'ورود اطلاعات'!$E$8),IF('ورود اطلاعات'!$H$22="معمولی", 300000000,5000000000)),0)</f>
        <v>4404945893.4000006</v>
      </c>
      <c r="T11" s="18">
        <f>IF(AND(C11&lt;=Rates!$O$11,'ورود اطلاعات'!$E$16="بله"),'ورود اطلاعات'!$N$23*('Offline Table'!Q11),0)</f>
        <v>2642967536.0400004</v>
      </c>
      <c r="U11" s="18">
        <f>IFERROR(IF(C11&lt;=Rates!$O$1,0.8/1000,0)*Q11*(1+VLOOKUP('ورود اطلاعات'!$E$25,Rates!$Q$1:$T$9,4,FALSE)/100),"")</f>
        <v>10571870.144160001</v>
      </c>
      <c r="V11" s="18">
        <f>IFERROR(IF(C11&lt;=Rates!$O$2,0.8/1000,0)*R11*(1+VLOOKUP('ورود اطلاعات'!$E$25,Rates!$Q$1:$T$9,4,FALSE)/100),"")</f>
        <v>1761978.3573600003</v>
      </c>
      <c r="W11" s="18">
        <f>IF(AND(C11&lt;=Rates!$O$2,'ورود اطلاعات'!$H$22="معمولی"),VLOOKUP(C11,Rates!$A$1:$E$108,5,0),IF(AND(C11&lt;=Rates!$O$2,'ورود اطلاعات'!$H$22="پایه"),VLOOKUP(C11,Rates!$A$1:$F$108,6,0),IF(AND(C11&lt;=Rates!$O$2,'ورود اطلاعات'!$H$22="آسایش "),VLOOKUP(C11,Rates!$A$1:$G$108,7,0),IF(AND(C11&lt;=Rates!$O$2,'ورود اطلاعات'!$H$22="ممتاز"),VLOOKUP(C11,Rates!$A$1:$H$108,8,0),0))))*S11/1000000*(1+'ورود اطلاعات'!$E$22)</f>
        <v>40016117.076262258</v>
      </c>
      <c r="X11" s="18">
        <f>IFERROR(IF(C11&lt;=Rates!$O$11,0.8/1000*T11*(1+VLOOKUP('ورود اطلاعات'!$E$25,Rates!$Q$1:$T$9,4,FALSE)/100),0),"")</f>
        <v>2114374.0288320007</v>
      </c>
      <c r="Y11" s="18">
        <f>(D11+U11+V11+W11+X11)*VLOOKUP('ورود اطلاعات'!$E$20,Rates!$V$1:$W$5,2,FALSE)</f>
        <v>0</v>
      </c>
      <c r="Z11" s="18">
        <f t="shared" si="0"/>
        <v>54464339.606614262</v>
      </c>
      <c r="AA11" s="18">
        <f>IFERROR(IF(C11&lt;=Rates!$O$1,VLOOKUP('ورود اطلاعات'!$E$20,Rates!$V$1:$X$5,3,FALSE),0),"")</f>
        <v>1</v>
      </c>
      <c r="AB11" s="18">
        <f>IFERROR(IF(C11&lt;=Rates!$O$1,(D11+Z11)/AA11,0),"")</f>
        <v>299183555.9066143</v>
      </c>
    </row>
    <row r="12" spans="1:29" x14ac:dyDescent="0.25">
      <c r="A12" s="17">
        <f>IF(A11&lt;&gt;"",IF(A11+1&lt;=(Rates!$O$1-'ورود اطلاعات'!$E$6),A11+1,""),"")</f>
        <v>10</v>
      </c>
      <c r="B12" s="17">
        <f>IF(C12&lt;=Rates!$O$1,B11+1,"")</f>
        <v>10</v>
      </c>
      <c r="C12" s="17">
        <f>IF(C11&lt;Rates!$O$1,C11+1,"")</f>
        <v>49</v>
      </c>
      <c r="D12" s="18">
        <f>IF(C12&lt;=Rates!$O$1,D11*(1+'ورود اطلاعات'!$E$8),0)</f>
        <v>318134981.19</v>
      </c>
      <c r="E12" s="18">
        <f>IF(C12&lt;=Rates!$O$1,INT(D12+E11),0)</f>
        <v>1278584918</v>
      </c>
      <c r="F12" s="18">
        <f>IF(C12&lt;=Rates!$O$1,ROUND(F11*(1+'ورود اطلاعات'!$E$9),0),0)</f>
        <v>5726429661</v>
      </c>
      <c r="G12" s="18">
        <f>IF(A12&lt;=5,IF(C12&lt;=Rates!$O$1,$D$3*5/100,0),0)</f>
        <v>0</v>
      </c>
      <c r="H12" s="18">
        <f>IF(A12&lt;=5,ROUND(F12*Rates!$O$9,0),0)</f>
        <v>0</v>
      </c>
      <c r="I12" s="18">
        <f>IF(C12&lt;=Rates!$O$1,D12*Rates!$O$10,0)</f>
        <v>11134724.341650002</v>
      </c>
      <c r="J12" s="18">
        <f>IF(C12&lt;=Rates!$O$1,F12*(VLOOKUP(C12,Rates!$A$1:$D$108,4,FALSE))/(1.1^0.5),0)</f>
        <v>18959548.263203859</v>
      </c>
      <c r="K12" s="18">
        <f>IF(C12&lt;=Rates!$O$1,D12-(G12+H12+I12+J12),0)</f>
        <v>288040708.58514613</v>
      </c>
      <c r="L12" s="18">
        <f>IF(C12&lt;=Rates!$O$1,(K12+L11)*(1+(IF(B12&lt;=2,Rates!$O$5,IF(B12&lt;=4,Rates!$O$6,Rates!$O$7)))),0)</f>
        <v>1679180424.7591841</v>
      </c>
      <c r="M12" s="18">
        <f>IF(C12&lt;=Rates!$O$1,(B12*D12)+(D12*'ورود اطلاعات'!$E$19/12),0)</f>
        <v>3181349811.9000001</v>
      </c>
      <c r="N12" s="18">
        <f>IF(C12&lt;=Rates!$O$1,K12*(1+IF(A12&lt;=2,Rates!$O$5,IF(A12&lt;=4,Rates!$O$6,Rates!$O$7))+(Rates!$O$8-IF(A12&lt;=2,Rates!$O$5,IF(A12&lt;=4,Rates!$O$6,Rates!$O$7)))*(VLOOKUP('ورود اطلاعات'!$E$20,Rates!$V$1:$Y$5,4,FALSE)))+N11*(1+IF(A12&lt;=2,Rates!$O$5,IF(A12&lt;=4,Rates!$O$6,Rates!$O$7))+(Rates!$O$8-IF(A12&lt;=2,Rates!$O$5,IF(A12&lt;=4,Rates!$O$6,Rates!$O$7)))),0)</f>
        <v>2524793807.5289383</v>
      </c>
      <c r="O12" s="18">
        <f t="shared" si="1"/>
        <v>0</v>
      </c>
      <c r="P12" s="18">
        <f>IF(A12&lt;=7,VLOOKUP(A12,Rates!$K$1:$L$8,2,FALSE),1)*L12</f>
        <v>1679180424.7591841</v>
      </c>
      <c r="Q12" s="18">
        <f>IF('ورود اطلاعات'!$E$16="بله",IF(C12&lt;=Rates!$O$4,D12*'ورود اطلاعات'!$H$16,0),0)</f>
        <v>17179288984.26</v>
      </c>
      <c r="R12" s="18">
        <f>IF('ورود اطلاعات'!$E$15="بله",IF(C12&lt;=Rates!$O$3,'ورود اطلاعات'!$H$15*D12,0),0)</f>
        <v>2863214830.71</v>
      </c>
      <c r="S12" s="18">
        <f>IF(AND(C12&gt;=0,C12&lt;=Rates!$O$2,F12&gt;0),MIN(S11*(1+'ورود اطلاعات'!$E$8),IF('ورود اطلاعات'!$H$22="معمولی", 300000000,5000000000)),0)</f>
        <v>5000000000</v>
      </c>
      <c r="T12" s="18">
        <f>IF(AND(C12&lt;=Rates!$O$11,'ورود اطلاعات'!$E$16="بله"),'ورود اطلاعات'!$N$23*('Offline Table'!Q12),0)</f>
        <v>3435857796.8520002</v>
      </c>
      <c r="U12" s="18">
        <f>IFERROR(IF(C12&lt;=Rates!$O$1,0.8/1000,0)*Q12*(1+VLOOKUP('ورود اطلاعات'!$E$25,Rates!$Q$1:$T$9,4,FALSE)/100),"")</f>
        <v>13743431.187408</v>
      </c>
      <c r="V12" s="18">
        <f>IFERROR(IF(C12&lt;=Rates!$O$2,0.8/1000,0)*R12*(1+VLOOKUP('ورود اطلاعات'!$E$25,Rates!$Q$1:$T$9,4,FALSE)/100),"")</f>
        <v>2290571.8645680002</v>
      </c>
      <c r="W12" s="18">
        <f>IF(AND(C12&lt;=Rates!$O$2,'ورود اطلاعات'!$H$22="معمولی"),VLOOKUP(C12,Rates!$A$1:$E$108,5,0),IF(AND(C12&lt;=Rates!$O$2,'ورود اطلاعات'!$H$22="پایه"),VLOOKUP(C12,Rates!$A$1:$F$108,6,0),IF(AND(C12&lt;=Rates!$O$2,'ورود اطلاعات'!$H$22="آسایش "),VLOOKUP(C12,Rates!$A$1:$G$108,7,0),IF(AND(C12&lt;=Rates!$O$2,'ورود اطلاعات'!$H$22="ممتاز"),VLOOKUP(C12,Rates!$A$1:$H$108,8,0),0))))*S12/1000000*(1+'ورود اطلاعات'!$E$22)</f>
        <v>48968238.288518809</v>
      </c>
      <c r="X12" s="18">
        <f>IFERROR(IF(C12&lt;=Rates!$O$11,0.8/1000*T12*(1+VLOOKUP('ورود اطلاعات'!$E$25,Rates!$Q$1:$T$9,4,FALSE)/100),0),"")</f>
        <v>2748686.2374816001</v>
      </c>
      <c r="Y12" s="18">
        <f>(D12+U12+V12+W12+X12)*VLOOKUP('ورود اطلاعات'!$E$20,Rates!$V$1:$W$5,2,FALSE)</f>
        <v>0</v>
      </c>
      <c r="Z12" s="18">
        <f t="shared" si="0"/>
        <v>67750927.577976406</v>
      </c>
      <c r="AA12" s="18">
        <f>IFERROR(IF(C12&lt;=Rates!$O$1,VLOOKUP('ورود اطلاعات'!$E$20,Rates!$V$1:$X$5,3,FALSE),0),"")</f>
        <v>1</v>
      </c>
      <c r="AB12" s="18">
        <f>IFERROR(IF(C12&lt;=Rates!$O$1,(D12+Z12)/AA12,0),"")</f>
        <v>385885908.7679764</v>
      </c>
    </row>
    <row r="13" spans="1:29" x14ac:dyDescent="0.25">
      <c r="A13" s="17">
        <f>IF(A12&lt;&gt;"",IF(A12+1&lt;=(Rates!$O$1-'ورود اطلاعات'!$E$6),A12+1,""),"")</f>
        <v>11</v>
      </c>
      <c r="B13" s="17">
        <f>IF(C13&lt;=Rates!$O$1,B12+1,"")</f>
        <v>11</v>
      </c>
      <c r="C13" s="17">
        <f>IF(C12&lt;Rates!$O$1,C12+1,"")</f>
        <v>50</v>
      </c>
      <c r="D13" s="18">
        <f>IF(C13&lt;=Rates!$O$1,D12*(1+'ورود اطلاعات'!$E$8),0)</f>
        <v>413575475.54699999</v>
      </c>
      <c r="E13" s="18">
        <f>IF(C13&lt;=Rates!$O$1,INT(D13+E12),0)</f>
        <v>1692160393</v>
      </c>
      <c r="F13" s="18">
        <f>IF(C13&lt;=Rates!$O$1,ROUND(F12*(1+'ورود اطلاعات'!$E$9),0),0)</f>
        <v>7444358559</v>
      </c>
      <c r="G13" s="18">
        <f>IF(A13&lt;=5,IF(C13&lt;=Rates!$O$1,$D$3*5/100,0),0)</f>
        <v>0</v>
      </c>
      <c r="H13" s="18">
        <f>IF(A13&lt;=5,ROUND(F13*Rates!$O$9,0),0)</f>
        <v>0</v>
      </c>
      <c r="I13" s="18">
        <f>IF(C13&lt;=Rates!$O$1,D13*Rates!$O$10,0)</f>
        <v>14475141.644145001</v>
      </c>
      <c r="J13" s="18">
        <f>IF(C13&lt;=Rates!$O$1,F13*(VLOOKUP(C13,Rates!$A$1:$D$108,4,FALSE))/(1.1^0.5),0)</f>
        <v>26890720.452028792</v>
      </c>
      <c r="K13" s="18">
        <f>IF(C13&lt;=Rates!$O$1,D13-(G13+H13+I13+J13),0)</f>
        <v>372209613.45082617</v>
      </c>
      <c r="L13" s="18">
        <f>IF(C13&lt;=Rates!$O$1,(K13+L12)*(1+(IF(B13&lt;=2,Rates!$O$5,IF(B13&lt;=4,Rates!$O$6,Rates!$O$7)))),0)</f>
        <v>2256529042.0310116</v>
      </c>
      <c r="M13" s="18">
        <f>IF(C13&lt;=Rates!$O$1,(B13*D13)+(D13*'ورود اطلاعات'!$E$19/12),0)</f>
        <v>4549330231.0170002</v>
      </c>
      <c r="N13" s="18">
        <f>IF(C13&lt;=Rates!$O$1,K13*(1+IF(A13&lt;=2,Rates!$O$5,IF(A13&lt;=4,Rates!$O$6,Rates!$O$7))+(Rates!$O$8-IF(A13&lt;=2,Rates!$O$5,IF(A13&lt;=4,Rates!$O$6,Rates!$O$7)))*(VLOOKUP('ورود اطلاعات'!$E$20,Rates!$V$1:$Y$5,4,FALSE)))+N12*(1+IF(A13&lt;=2,Rates!$O$5,IF(A13&lt;=4,Rates!$O$6,Rates!$O$7))+(Rates!$O$8-IF(A13&lt;=2,Rates!$O$5,IF(A13&lt;=4,Rates!$O$6,Rates!$O$7)))),0)</f>
        <v>3497564988.615591</v>
      </c>
      <c r="O13" s="18">
        <f t="shared" si="1"/>
        <v>0</v>
      </c>
      <c r="P13" s="18">
        <f>IF(A13&lt;=7,VLOOKUP(A13,Rates!$K$1:$L$8,2,FALSE),1)*L13</f>
        <v>2256529042.0310116</v>
      </c>
      <c r="Q13" s="18">
        <f>IF('ورود اطلاعات'!$E$16="بله",IF(C13&lt;=Rates!$O$4,D13*'ورود اطلاعات'!$H$16,0),0)</f>
        <v>22333075679.537998</v>
      </c>
      <c r="R13" s="18">
        <f>IF('ورود اطلاعات'!$E$15="بله",IF(C13&lt;=Rates!$O$3,'ورود اطلاعات'!$H$15*D13,0),0)</f>
        <v>3722179279.9229999</v>
      </c>
      <c r="S13" s="18">
        <f>IF(AND(C13&gt;=0,C13&lt;=Rates!$O$2,F13&gt;0),MIN(S12*(1+'ورود اطلاعات'!$E$8),IF('ورود اطلاعات'!$H$22="معمولی", 300000000,5000000000)),0)</f>
        <v>5000000000</v>
      </c>
      <c r="T13" s="18">
        <f>IF(AND(C13&lt;=Rates!$O$11,'ورود اطلاعات'!$E$16="بله"),'ورود اطلاعات'!$N$23*('Offline Table'!Q13),0)</f>
        <v>4466615135.9075994</v>
      </c>
      <c r="U13" s="18">
        <f>IFERROR(IF(C13&lt;=Rates!$O$1,0.8/1000,0)*Q13*(1+VLOOKUP('ورود اطلاعات'!$E$25,Rates!$Q$1:$T$9,4,FALSE)/100),"")</f>
        <v>17866460.543630399</v>
      </c>
      <c r="V13" s="18">
        <f>IFERROR(IF(C13&lt;=Rates!$O$2,0.8/1000,0)*R13*(1+VLOOKUP('ورود اطلاعات'!$E$25,Rates!$Q$1:$T$9,4,FALSE)/100),"")</f>
        <v>2977743.4239384001</v>
      </c>
      <c r="W13" s="18">
        <f>IF(AND(C13&lt;=Rates!$O$2,'ورود اطلاعات'!$H$22="معمولی"),VLOOKUP(C13,Rates!$A$1:$E$108,5,0),IF(AND(C13&lt;=Rates!$O$2,'ورود اطلاعات'!$H$22="پایه"),VLOOKUP(C13,Rates!$A$1:$F$108,6,0),IF(AND(C13&lt;=Rates!$O$2,'ورود اطلاعات'!$H$22="آسایش "),VLOOKUP(C13,Rates!$A$1:$G$108,7,0),IF(AND(C13&lt;=Rates!$O$2,'ورود اطلاعات'!$H$22="ممتاز"),VLOOKUP(C13,Rates!$A$1:$H$108,8,0),0))))*S13/1000000*(1+'ورود اطلاعات'!$E$22)</f>
        <v>52144478.482764281</v>
      </c>
      <c r="X13" s="18">
        <f>IFERROR(IF(C13&lt;=Rates!$O$11,0.8/1000*T13*(1+VLOOKUP('ورود اطلاعات'!$E$25,Rates!$Q$1:$T$9,4,FALSE)/100),0),"")</f>
        <v>3573292.1087260796</v>
      </c>
      <c r="Y13" s="18">
        <f>(D13+U13+V13+W13+X13)*VLOOKUP('ورود اطلاعات'!$E$20,Rates!$V$1:$W$5,2,FALSE)</f>
        <v>0</v>
      </c>
      <c r="Z13" s="18">
        <f t="shared" si="0"/>
        <v>76561974.559059173</v>
      </c>
      <c r="AA13" s="18">
        <f>IFERROR(IF(C13&lt;=Rates!$O$1,VLOOKUP('ورود اطلاعات'!$E$20,Rates!$V$1:$X$5,3,FALSE),0),"")</f>
        <v>1</v>
      </c>
      <c r="AB13" s="18">
        <f>IFERROR(IF(C13&lt;=Rates!$O$1,(D13+Z13)/AA13,0),"")</f>
        <v>490137450.10605919</v>
      </c>
    </row>
    <row r="14" spans="1:29" x14ac:dyDescent="0.25">
      <c r="A14" s="17">
        <f>IF(A13&lt;&gt;"",IF(A13+1&lt;=(Rates!$O$1-'ورود اطلاعات'!$E$6),A13+1,""),"")</f>
        <v>12</v>
      </c>
      <c r="B14" s="17">
        <f>IF(C14&lt;=Rates!$O$1,B13+1,"")</f>
        <v>12</v>
      </c>
      <c r="C14" s="17">
        <f>IF(C13&lt;Rates!$O$1,C13+1,"")</f>
        <v>51</v>
      </c>
      <c r="D14" s="18">
        <f>IF(C14&lt;=Rates!$O$1,D13*(1+'ورود اطلاعات'!$E$8),0)</f>
        <v>537648118.21109998</v>
      </c>
      <c r="E14" s="18">
        <f>IF(C14&lt;=Rates!$O$1,INT(D14+E13),0)</f>
        <v>2229808511</v>
      </c>
      <c r="F14" s="18">
        <f>IF(C14&lt;=Rates!$O$1,ROUND(F13*(1+'ورود اطلاعات'!$E$9),0),0)</f>
        <v>9677666127</v>
      </c>
      <c r="G14" s="18">
        <f>IF(A14&lt;=5,IF(C14&lt;=Rates!$O$1,$D$3*5/100,0),0)</f>
        <v>0</v>
      </c>
      <c r="H14" s="18">
        <f>IF(A14&lt;=5,ROUND(F14*Rates!$O$9,0),0)</f>
        <v>0</v>
      </c>
      <c r="I14" s="18">
        <f>IF(C14&lt;=Rates!$O$1,D14*Rates!$O$10,0)</f>
        <v>18817684.137388501</v>
      </c>
      <c r="J14" s="18">
        <f>IF(C14&lt;=Rates!$O$1,F14*(VLOOKUP(C14,Rates!$A$1:$D$108,4,FALSE))/(1.1^0.5),0)</f>
        <v>38408928.468274936</v>
      </c>
      <c r="K14" s="18">
        <f>IF(C14&lt;=Rates!$O$1,D14-(G14+H14+I14+J14),0)</f>
        <v>480421505.60543656</v>
      </c>
      <c r="L14" s="18">
        <f>IF(C14&lt;=Rates!$O$1,(K14+L13)*(1+(IF(B14&lt;=2,Rates!$O$5,IF(B14&lt;=4,Rates!$O$6,Rates!$O$7)))),0)</f>
        <v>3010645602.4000931</v>
      </c>
      <c r="M14" s="18">
        <f>IF(C14&lt;=Rates!$O$1,(B14*D14)+(D14*'ورود اطلاعات'!$E$19/12),0)</f>
        <v>6451777418.5331993</v>
      </c>
      <c r="N14" s="18">
        <f>IF(C14&lt;=Rates!$O$1,K14*(1+IF(A14&lt;=2,Rates!$O$5,IF(A14&lt;=4,Rates!$O$6,Rates!$O$7))+(Rates!$O$8-IF(A14&lt;=2,Rates!$O$5,IF(A14&lt;=4,Rates!$O$6,Rates!$O$7)))*(VLOOKUP('ورود اطلاعات'!$E$20,Rates!$V$1:$Y$5,4,FALSE)))+N13*(1+IF(A14&lt;=2,Rates!$O$5,IF(A14&lt;=4,Rates!$O$6,Rates!$O$7))+(Rates!$O$8-IF(A14&lt;=2,Rates!$O$5,IF(A14&lt;=4,Rates!$O$6,Rates!$O$7)))),0)</f>
        <v>4802640613.6129751</v>
      </c>
      <c r="O14" s="18">
        <f t="shared" si="1"/>
        <v>0</v>
      </c>
      <c r="P14" s="18">
        <f>IF(A14&lt;=7,VLOOKUP(A14,Rates!$K$1:$L$8,2,FALSE),1)*L14</f>
        <v>3010645602.4000931</v>
      </c>
      <c r="Q14" s="18">
        <f>IF('ورود اطلاعات'!$E$16="بله",IF(C14&lt;=Rates!$O$4,D14*'ورود اطلاعات'!$H$16,0),0)</f>
        <v>29032998383.399399</v>
      </c>
      <c r="R14" s="18">
        <f>IF('ورود اطلاعات'!$E$15="بله",IF(C14&lt;=Rates!$O$3,'ورود اطلاعات'!$H$15*D14,0),0)</f>
        <v>4838833063.8998995</v>
      </c>
      <c r="S14" s="18">
        <f>IF(AND(C14&gt;=0,C14&lt;=Rates!$O$2,F14&gt;0),MIN(S13*(1+'ورود اطلاعات'!$E$8),IF('ورود اطلاعات'!$H$22="معمولی", 300000000,5000000000)),0)</f>
        <v>5000000000</v>
      </c>
      <c r="T14" s="18">
        <f>IF(AND(C14&lt;=Rates!$O$11,'ورود اطلاعات'!$E$16="بله"),'ورود اطلاعات'!$N$23*('Offline Table'!Q14),0)</f>
        <v>5806599676.6798801</v>
      </c>
      <c r="U14" s="18">
        <f>IFERROR(IF(C14&lt;=Rates!$O$1,0.8/1000,0)*Q14*(1+VLOOKUP('ورود اطلاعات'!$E$25,Rates!$Q$1:$T$9,4,FALSE)/100),"")</f>
        <v>23226398.706719521</v>
      </c>
      <c r="V14" s="18">
        <f>IFERROR(IF(C14&lt;=Rates!$O$2,0.8/1000,0)*R14*(1+VLOOKUP('ورود اطلاعات'!$E$25,Rates!$Q$1:$T$9,4,FALSE)/100),"")</f>
        <v>3871066.4511199198</v>
      </c>
      <c r="W14" s="18">
        <f>IF(AND(C14&lt;=Rates!$O$2,'ورود اطلاعات'!$H$22="معمولی"),VLOOKUP(C14,Rates!$A$1:$E$108,5,0),IF(AND(C14&lt;=Rates!$O$2,'ورود اطلاعات'!$H$22="پایه"),VLOOKUP(C14,Rates!$A$1:$F$108,6,0),IF(AND(C14&lt;=Rates!$O$2,'ورود اطلاعات'!$H$22="آسایش "),VLOOKUP(C14,Rates!$A$1:$G$108,7,0),IF(AND(C14&lt;=Rates!$O$2,'ورود اطلاعات'!$H$22="ممتاز"),VLOOKUP(C14,Rates!$A$1:$H$108,8,0),0))))*S14/1000000*(1+'ورود اطلاعات'!$E$22)</f>
        <v>55841864.924939774</v>
      </c>
      <c r="X14" s="18">
        <f>IFERROR(IF(C14&lt;=Rates!$O$11,0.8/1000*T14*(1+VLOOKUP('ورود اطلاعات'!$E$25,Rates!$Q$1:$T$9,4,FALSE)/100),0),"")</f>
        <v>4645279.7413439043</v>
      </c>
      <c r="Y14" s="18">
        <f>(D14+U14+V14+W14+X14)*VLOOKUP('ورود اطلاعات'!$E$20,Rates!$V$1:$W$5,2,FALSE)</f>
        <v>0</v>
      </c>
      <c r="Z14" s="18">
        <f t="shared" si="0"/>
        <v>87584609.824123114</v>
      </c>
      <c r="AA14" s="18">
        <f>IFERROR(IF(C14&lt;=Rates!$O$1,VLOOKUP('ورود اطلاعات'!$E$20,Rates!$V$1:$X$5,3,FALSE),0),"")</f>
        <v>1</v>
      </c>
      <c r="AB14" s="18">
        <f>IFERROR(IF(C14&lt;=Rates!$O$1,(D14+Z14)/AA14,0),"")</f>
        <v>625232728.03522313</v>
      </c>
    </row>
    <row r="15" spans="1:29" x14ac:dyDescent="0.25">
      <c r="A15" s="17">
        <f>IF(A14&lt;&gt;"",IF(A14+1&lt;=(Rates!$O$1-'ورود اطلاعات'!$E$6),A14+1,""),"")</f>
        <v>13</v>
      </c>
      <c r="B15" s="17">
        <f>IF(C15&lt;=Rates!$O$1,B14+1,"")</f>
        <v>13</v>
      </c>
      <c r="C15" s="17">
        <f>IF(C14&lt;Rates!$O$1,C14+1,"")</f>
        <v>52</v>
      </c>
      <c r="D15" s="18">
        <f>IF(C15&lt;=Rates!$O$1,D14*(1+'ورود اطلاعات'!$E$8),0)</f>
        <v>698942553.67443001</v>
      </c>
      <c r="E15" s="18">
        <f>IF(C15&lt;=Rates!$O$1,INT(D15+E14),0)</f>
        <v>2928751064</v>
      </c>
      <c r="F15" s="18">
        <f>IF(C15&lt;=Rates!$O$1,ROUND(F14*(1+'ورود اطلاعات'!$E$9),0),0)</f>
        <v>12580965965</v>
      </c>
      <c r="G15" s="18">
        <f>IF(A15&lt;=5,IF(C15&lt;=Rates!$O$1,$D$3*5/100,0),0)</f>
        <v>0</v>
      </c>
      <c r="H15" s="18">
        <f>IF(A15&lt;=5,ROUND(F15*Rates!$O$9,0),0)</f>
        <v>0</v>
      </c>
      <c r="I15" s="18">
        <f>IF(C15&lt;=Rates!$O$1,D15*Rates!$O$10,0)</f>
        <v>24462989.378605053</v>
      </c>
      <c r="J15" s="18">
        <f>IF(C15&lt;=Rates!$O$1,F15*(VLOOKUP(C15,Rates!$A$1:$D$108,4,FALSE))/(1.1^0.5),0)</f>
        <v>54340553.88568262</v>
      </c>
      <c r="K15" s="18">
        <f>IF(C15&lt;=Rates!$O$1,D15-(G15+H15+I15+J15),0)</f>
        <v>620139010.4101423</v>
      </c>
      <c r="L15" s="18">
        <f>IF(C15&lt;=Rates!$O$1,(K15+L14)*(1+(IF(B15&lt;=2,Rates!$O$5,IF(B15&lt;=4,Rates!$O$6,Rates!$O$7)))),0)</f>
        <v>3993863074.0912595</v>
      </c>
      <c r="M15" s="18">
        <f>IF(C15&lt;=Rates!$O$1,(B15*D15)+(D15*'ورود اطلاعات'!$E$19/12),0)</f>
        <v>9086253197.7675896</v>
      </c>
      <c r="N15" s="18">
        <f>IF(C15&lt;=Rates!$O$1,K15*(1+IF(A15&lt;=2,Rates!$O$5,IF(A15&lt;=4,Rates!$O$6,Rates!$O$7))+(Rates!$O$8-IF(A15&lt;=2,Rates!$O$5,IF(A15&lt;=4,Rates!$O$6,Rates!$O$7)))*(VLOOKUP('ورود اطلاعات'!$E$20,Rates!$V$1:$Y$5,4,FALSE)))+N14*(1+IF(A15&lt;=2,Rates!$O$5,IF(A15&lt;=4,Rates!$O$6,Rates!$O$7))+(Rates!$O$8-IF(A15&lt;=2,Rates!$O$5,IF(A15&lt;=4,Rates!$O$6,Rates!$O$7)))),0)</f>
        <v>6546945722.1237278</v>
      </c>
      <c r="O15" s="18">
        <f t="shared" si="1"/>
        <v>0</v>
      </c>
      <c r="P15" s="18">
        <f>IF(A15&lt;=7,VLOOKUP(A15,Rates!$K$1:$L$8,2,FALSE),1)*L15</f>
        <v>3993863074.0912595</v>
      </c>
      <c r="Q15" s="18">
        <f>IF('ورود اطلاعات'!$E$16="بله",IF(C15&lt;=Rates!$O$4,D15*'ورود اطلاعات'!$H$16,0),0)</f>
        <v>37742897898.41922</v>
      </c>
      <c r="R15" s="18">
        <f>IF('ورود اطلاعات'!$E$15="بله",IF(C15&lt;=Rates!$O$3,'ورود اطلاعات'!$H$15*D15,0),0)</f>
        <v>6290482983.06987</v>
      </c>
      <c r="S15" s="18">
        <f>IF(AND(C15&gt;=0,C15&lt;=Rates!$O$2,F15&gt;0),MIN(S14*(1+'ورود اطلاعات'!$E$8),IF('ورود اطلاعات'!$H$22="معمولی", 300000000,5000000000)),0)</f>
        <v>5000000000</v>
      </c>
      <c r="T15" s="18">
        <f>IF(AND(C15&lt;=Rates!$O$11,'ورود اطلاعات'!$E$16="بله"),'ورود اطلاعات'!$N$23*('Offline Table'!Q15),0)</f>
        <v>7548579579.6838446</v>
      </c>
      <c r="U15" s="18">
        <f>IFERROR(IF(C15&lt;=Rates!$O$1,0.8/1000,0)*Q15*(1+VLOOKUP('ورود اطلاعات'!$E$25,Rates!$Q$1:$T$9,4,FALSE)/100),"")</f>
        <v>30194318.318735376</v>
      </c>
      <c r="V15" s="18">
        <f>IFERROR(IF(C15&lt;=Rates!$O$2,0.8/1000,0)*R15*(1+VLOOKUP('ورود اطلاعات'!$E$25,Rates!$Q$1:$T$9,4,FALSE)/100),"")</f>
        <v>5032386.3864558963</v>
      </c>
      <c r="W15" s="18">
        <f>IF(AND(C15&lt;=Rates!$O$2,'ورود اطلاعات'!$H$22="معمولی"),VLOOKUP(C15,Rates!$A$1:$E$108,5,0),IF(AND(C15&lt;=Rates!$O$2,'ورود اطلاعات'!$H$22="پایه"),VLOOKUP(C15,Rates!$A$1:$F$108,6,0),IF(AND(C15&lt;=Rates!$O$2,'ورود اطلاعات'!$H$22="آسایش "),VLOOKUP(C15,Rates!$A$1:$G$108,7,0),IF(AND(C15&lt;=Rates!$O$2,'ورود اطلاعات'!$H$22="ممتاز"),VLOOKUP(C15,Rates!$A$1:$H$108,8,0),0))))*S15/1000000*(1+'ورود اطلاعات'!$E$22)</f>
        <v>59714408.849866845</v>
      </c>
      <c r="X15" s="18">
        <f>IFERROR(IF(C15&lt;=Rates!$O$11,0.8/1000*T15*(1+VLOOKUP('ورود اطلاعات'!$E$25,Rates!$Q$1:$T$9,4,FALSE)/100),0),"")</f>
        <v>6038863.6637470759</v>
      </c>
      <c r="Y15" s="18">
        <f>(D15+U15+V15+W15+X15)*VLOOKUP('ورود اطلاعات'!$E$20,Rates!$V$1:$W$5,2,FALSE)</f>
        <v>0</v>
      </c>
      <c r="Z15" s="18">
        <f t="shared" si="0"/>
        <v>100979977.21880519</v>
      </c>
      <c r="AA15" s="18">
        <f>IFERROR(IF(C15&lt;=Rates!$O$1,VLOOKUP('ورود اطلاعات'!$E$20,Rates!$V$1:$X$5,3,FALSE),0),"")</f>
        <v>1</v>
      </c>
      <c r="AB15" s="18">
        <f>IFERROR(IF(C15&lt;=Rates!$O$1,(D15+Z15)/AA15,0),"")</f>
        <v>799922530.89323521</v>
      </c>
    </row>
    <row r="16" spans="1:29" x14ac:dyDescent="0.25">
      <c r="A16" s="17">
        <f>IF(A15&lt;&gt;"",IF(A15+1&lt;=(Rates!$O$1-'ورود اطلاعات'!$E$6),A15+1,""),"")</f>
        <v>14</v>
      </c>
      <c r="B16" s="17">
        <f>IF(C16&lt;=Rates!$O$1,B15+1,"")</f>
        <v>14</v>
      </c>
      <c r="C16" s="17">
        <f>IF(C15&lt;Rates!$O$1,C15+1,"")</f>
        <v>53</v>
      </c>
      <c r="D16" s="18">
        <f>IF(C16&lt;=Rates!$O$1,D15*(1+'ورود اطلاعات'!$E$8),0)</f>
        <v>908625319.77675903</v>
      </c>
      <c r="E16" s="18">
        <f>IF(C16&lt;=Rates!$O$1,INT(D16+E15),0)</f>
        <v>3837376383</v>
      </c>
      <c r="F16" s="18">
        <f>IF(C16&lt;=Rates!$O$1,ROUND(F15*(1+'ورود اطلاعات'!$E$9),0),0)</f>
        <v>16355255755</v>
      </c>
      <c r="G16" s="18">
        <f>IF(A16&lt;=5,IF(C16&lt;=Rates!$O$1,$D$3*5/100,0),0)</f>
        <v>0</v>
      </c>
      <c r="H16" s="18">
        <f>IF(A16&lt;=5,ROUND(F16*Rates!$O$9,0),0)</f>
        <v>0</v>
      </c>
      <c r="I16" s="18">
        <f>IF(C16&lt;=Rates!$O$1,D16*Rates!$O$10,0)</f>
        <v>31801886.192186568</v>
      </c>
      <c r="J16" s="18">
        <f>IF(C16&lt;=Rates!$O$1,F16*(VLOOKUP(C16,Rates!$A$1:$D$108,4,FALSE))/(1.1^0.5),0)</f>
        <v>77649226.693829209</v>
      </c>
      <c r="K16" s="18">
        <f>IF(C16&lt;=Rates!$O$1,D16-(G16+H16+I16+J16),0)</f>
        <v>799174206.89074326</v>
      </c>
      <c r="L16" s="18">
        <f>IF(C16&lt;=Rates!$O$1,(K16+L15)*(1+(IF(B16&lt;=2,Rates!$O$5,IF(B16&lt;=4,Rates!$O$6,Rates!$O$7)))),0)</f>
        <v>5272341009.0802031</v>
      </c>
      <c r="M16" s="18">
        <f>IF(C16&lt;=Rates!$O$1,(B16*D16)+(D16*'ورود اطلاعات'!$E$19/12),0)</f>
        <v>12720754476.874626</v>
      </c>
      <c r="N16" s="18">
        <f>IF(C16&lt;=Rates!$O$1,K16*(1+IF(A16&lt;=2,Rates!$O$5,IF(A16&lt;=4,Rates!$O$6,Rates!$O$7))+(Rates!$O$8-IF(A16&lt;=2,Rates!$O$5,IF(A16&lt;=4,Rates!$O$6,Rates!$O$7)))*(VLOOKUP('ورود اطلاعات'!$E$20,Rates!$V$1:$Y$5,4,FALSE)))+N15*(1+IF(A16&lt;=2,Rates!$O$5,IF(A16&lt;=4,Rates!$O$6,Rates!$O$7))+(Rates!$O$8-IF(A16&lt;=2,Rates!$O$5,IF(A16&lt;=4,Rates!$O$6,Rates!$O$7)))),0)</f>
        <v>8869002942.7727547</v>
      </c>
      <c r="O16" s="18">
        <f t="shared" si="1"/>
        <v>0</v>
      </c>
      <c r="P16" s="18">
        <f>IF(A16&lt;=7,VLOOKUP(A16,Rates!$K$1:$L$8,2,FALSE),1)*L16</f>
        <v>5272341009.0802031</v>
      </c>
      <c r="Q16" s="18">
        <f>IF('ورود اطلاعات'!$E$16="بله",IF(C16&lt;=Rates!$O$4,D16*'ورود اطلاعات'!$H$16,0),0)</f>
        <v>49065767267.944984</v>
      </c>
      <c r="R16" s="18">
        <f>IF('ورود اطلاعات'!$E$15="بله",IF(C16&lt;=Rates!$O$3,'ورود اطلاعات'!$H$15*D16,0),0)</f>
        <v>8177627877.9908314</v>
      </c>
      <c r="S16" s="18">
        <f>IF(AND(C16&gt;=0,C16&lt;=Rates!$O$2,F16&gt;0),MIN(S15*(1+'ورود اطلاعات'!$E$8),IF('ورود اطلاعات'!$H$22="معمولی", 300000000,5000000000)),0)</f>
        <v>5000000000</v>
      </c>
      <c r="T16" s="18">
        <f>IF(AND(C16&lt;=Rates!$O$11,'ورود اطلاعات'!$E$16="بله"),'ورود اطلاعات'!$N$23*('Offline Table'!Q16),0)</f>
        <v>9813153453.5889969</v>
      </c>
      <c r="U16" s="18">
        <f>IFERROR(IF(C16&lt;=Rates!$O$1,0.8/1000,0)*Q16*(1+VLOOKUP('ورود اطلاعات'!$E$25,Rates!$Q$1:$T$9,4,FALSE)/100),"")</f>
        <v>39252613.814355992</v>
      </c>
      <c r="V16" s="18">
        <f>IFERROR(IF(C16&lt;=Rates!$O$2,0.8/1000,0)*R16*(1+VLOOKUP('ورود اطلاعات'!$E$25,Rates!$Q$1:$T$9,4,FALSE)/100),"")</f>
        <v>6542102.3023926653</v>
      </c>
      <c r="W16" s="18">
        <f>IF(AND(C16&lt;=Rates!$O$2,'ورود اطلاعات'!$H$22="معمولی"),VLOOKUP(C16,Rates!$A$1:$E$108,5,0),IF(AND(C16&lt;=Rates!$O$2,'ورود اطلاعات'!$H$22="پایه"),VLOOKUP(C16,Rates!$A$1:$F$108,6,0),IF(AND(C16&lt;=Rates!$O$2,'ورود اطلاعات'!$H$22="آسایش "),VLOOKUP(C16,Rates!$A$1:$G$108,7,0),IF(AND(C16&lt;=Rates!$O$2,'ورود اطلاعات'!$H$22="ممتاز"),VLOOKUP(C16,Rates!$A$1:$H$108,8,0),0))))*S16/1000000*(1+'ورود اطلاعات'!$E$22)</f>
        <v>63816933.440903269</v>
      </c>
      <c r="X16" s="18">
        <f>IFERROR(IF(C16&lt;=Rates!$O$11,0.8/1000*T16*(1+VLOOKUP('ورود اطلاعات'!$E$25,Rates!$Q$1:$T$9,4,FALSE)/100),0),"")</f>
        <v>7850522.7628711974</v>
      </c>
      <c r="Y16" s="18">
        <f>(D16+U16+V16+W16+X16)*VLOOKUP('ورود اطلاعات'!$E$20,Rates!$V$1:$W$5,2,FALSE)</f>
        <v>0</v>
      </c>
      <c r="Z16" s="18">
        <f t="shared" si="0"/>
        <v>117462172.32052313</v>
      </c>
      <c r="AA16" s="18">
        <f>IFERROR(IF(C16&lt;=Rates!$O$1,VLOOKUP('ورود اطلاعات'!$E$20,Rates!$V$1:$X$5,3,FALSE),0),"")</f>
        <v>1</v>
      </c>
      <c r="AB16" s="18">
        <f>IFERROR(IF(C16&lt;=Rates!$O$1,(D16+Z16)/AA16,0),"")</f>
        <v>1026087492.0972822</v>
      </c>
    </row>
    <row r="17" spans="1:28" x14ac:dyDescent="0.25">
      <c r="A17" s="17">
        <f>IF(A16&lt;&gt;"",IF(A16+1&lt;=(Rates!$O$1-'ورود اطلاعات'!$E$6),A16+1,""),"")</f>
        <v>15</v>
      </c>
      <c r="B17" s="17">
        <f>IF(C17&lt;=Rates!$O$1,B16+1,"")</f>
        <v>15</v>
      </c>
      <c r="C17" s="17">
        <f>IF(C16&lt;Rates!$O$1,C16+1,"")</f>
        <v>54</v>
      </c>
      <c r="D17" s="18">
        <f>IF(C17&lt;=Rates!$O$1,D16*(1+'ورود اطلاعات'!$E$8),0)</f>
        <v>1181212915.7097869</v>
      </c>
      <c r="E17" s="18">
        <f>IF(C17&lt;=Rates!$O$1,INT(D17+E16),0)</f>
        <v>5018589298</v>
      </c>
      <c r="F17" s="18">
        <f>IF(C17&lt;=Rates!$O$1,ROUND(F16*(1+'ورود اطلاعات'!$E$9),0),0)</f>
        <v>21261832482</v>
      </c>
      <c r="G17" s="18">
        <f>IF(A17&lt;=5,IF(C17&lt;=Rates!$O$1,$D$3*5/100,0),0)</f>
        <v>0</v>
      </c>
      <c r="H17" s="18">
        <f>IF(A17&lt;=5,ROUND(F17*Rates!$O$9,0),0)</f>
        <v>0</v>
      </c>
      <c r="I17" s="18">
        <f>IF(C17&lt;=Rates!$O$1,D17*Rates!$O$10,0)</f>
        <v>41342452.049842544</v>
      </c>
      <c r="J17" s="18">
        <f>IF(C17&lt;=Rates!$O$1,F17*(VLOOKUP(C17,Rates!$A$1:$D$108,4,FALSE))/(1.1^0.5),0)</f>
        <v>111302930.11252166</v>
      </c>
      <c r="K17" s="18">
        <f>IF(C17&lt;=Rates!$O$1,D17-(G17+H17+I17+J17),0)</f>
        <v>1028567533.5474226</v>
      </c>
      <c r="L17" s="18">
        <f>IF(C17&lt;=Rates!$O$1,(K17+L16)*(1+(IF(B17&lt;=2,Rates!$O$5,IF(B17&lt;=4,Rates!$O$6,Rates!$O$7)))),0)</f>
        <v>6930999396.8903885</v>
      </c>
      <c r="M17" s="18">
        <f>IF(C17&lt;=Rates!$O$1,(B17*D17)+(D17*'ورود اطلاعات'!$E$19/12),0)</f>
        <v>17718193735.646805</v>
      </c>
      <c r="N17" s="18">
        <f>IF(C17&lt;=Rates!$O$1,K17*(1+IF(A17&lt;=2,Rates!$O$5,IF(A17&lt;=4,Rates!$O$6,Rates!$O$7))+(Rates!$O$8-IF(A17&lt;=2,Rates!$O$5,IF(A17&lt;=4,Rates!$O$6,Rates!$O$7)))*(VLOOKUP('ورود اطلاعات'!$E$20,Rates!$V$1:$Y$5,4,FALSE)))+N16*(1+IF(A17&lt;=2,Rates!$O$5,IF(A17&lt;=4,Rates!$O$6,Rates!$O$7))+(Rates!$O$8-IF(A17&lt;=2,Rates!$O$5,IF(A17&lt;=4,Rates!$O$6,Rates!$O$7)))),0)</f>
        <v>11949380425.179205</v>
      </c>
      <c r="O17" s="18">
        <f t="shared" si="1"/>
        <v>0</v>
      </c>
      <c r="P17" s="18">
        <f>IF(A17&lt;=7,VLOOKUP(A17,Rates!$K$1:$L$8,2,FALSE),1)*L17</f>
        <v>6930999396.8903885</v>
      </c>
      <c r="Q17" s="18">
        <f>IF('ورود اطلاعات'!$E$16="بله",IF(C17&lt;=Rates!$O$4,D17*'ورود اطلاعات'!$H$16,0),0)</f>
        <v>63785497448.328491</v>
      </c>
      <c r="R17" s="18">
        <f>IF('ورود اطلاعات'!$E$15="بله",IF(C17&lt;=Rates!$O$3,'ورود اطلاعات'!$H$15*D17,0),0)</f>
        <v>10630916241.388083</v>
      </c>
      <c r="S17" s="18">
        <f>IF(AND(C17&gt;=0,C17&lt;=Rates!$O$2,F17&gt;0),MIN(S16*(1+'ورود اطلاعات'!$E$8),IF('ورود اطلاعات'!$H$22="معمولی", 300000000,5000000000)),0)</f>
        <v>5000000000</v>
      </c>
      <c r="T17" s="18">
        <f>IF(AND(C17&lt;=Rates!$O$11,'ورود اطلاعات'!$E$16="بله"),'ورود اطلاعات'!$N$23*('Offline Table'!Q17),0)</f>
        <v>12757099489.665699</v>
      </c>
      <c r="U17" s="18">
        <f>IFERROR(IF(C17&lt;=Rates!$O$1,0.8/1000,0)*Q17*(1+VLOOKUP('ورود اطلاعات'!$E$25,Rates!$Q$1:$T$9,4,FALSE)/100),"")</f>
        <v>51028397.958662793</v>
      </c>
      <c r="V17" s="18">
        <f>IFERROR(IF(C17&lt;=Rates!$O$2,0.8/1000,0)*R17*(1+VLOOKUP('ورود اطلاعات'!$E$25,Rates!$Q$1:$T$9,4,FALSE)/100),"")</f>
        <v>8504732.9931104667</v>
      </c>
      <c r="W17" s="18">
        <f>IF(AND(C17&lt;=Rates!$O$2,'ورود اطلاعات'!$H$22="معمولی"),VLOOKUP(C17,Rates!$A$1:$E$108,5,0),IF(AND(C17&lt;=Rates!$O$2,'ورود اطلاعات'!$H$22="پایه"),VLOOKUP(C17,Rates!$A$1:$F$108,6,0),IF(AND(C17&lt;=Rates!$O$2,'ورود اطلاعات'!$H$22="آسایش "),VLOOKUP(C17,Rates!$A$1:$G$108,7,0),IF(AND(C17&lt;=Rates!$O$2,'ورود اطلاعات'!$H$22="ممتاز"),VLOOKUP(C17,Rates!$A$1:$H$108,8,0),0))))*S17/1000000*(1+'ورود اطلاعات'!$E$22)</f>
        <v>68190011.135642186</v>
      </c>
      <c r="X17" s="18">
        <f>IFERROR(IF(C17&lt;=Rates!$O$11,0.8/1000*T17*(1+VLOOKUP('ورود اطلاعات'!$E$25,Rates!$Q$1:$T$9,4,FALSE)/100),0),"")</f>
        <v>10205679.59173256</v>
      </c>
      <c r="Y17" s="18">
        <f>(D17+U17+V17+W17+X17)*VLOOKUP('ورود اطلاعات'!$E$20,Rates!$V$1:$W$5,2,FALSE)</f>
        <v>0</v>
      </c>
      <c r="Z17" s="18">
        <f t="shared" si="0"/>
        <v>137928821.67914799</v>
      </c>
      <c r="AA17" s="18">
        <f>IFERROR(IF(C17&lt;=Rates!$O$1,VLOOKUP('ورود اطلاعات'!$E$20,Rates!$V$1:$X$5,3,FALSE),0),"")</f>
        <v>1</v>
      </c>
      <c r="AB17" s="18">
        <f>IFERROR(IF(C17&lt;=Rates!$O$1,(D17+Z17)/AA17,0),"")</f>
        <v>1319141737.3889349</v>
      </c>
    </row>
    <row r="18" spans="1:28" x14ac:dyDescent="0.25">
      <c r="A18" s="17">
        <f>IF(A17&lt;&gt;"",IF(A17+1&lt;=(Rates!$O$1-'ورود اطلاعات'!$E$6),A17+1,""),"")</f>
        <v>16</v>
      </c>
      <c r="B18" s="17">
        <f>IF(C18&lt;=Rates!$O$1,B17+1,"")</f>
        <v>16</v>
      </c>
      <c r="C18" s="17">
        <f>IF(C17&lt;Rates!$O$1,C17+1,"")</f>
        <v>55</v>
      </c>
      <c r="D18" s="18">
        <f>IF(C18&lt;=Rates!$O$1,D17*(1+'ورود اطلاعات'!$E$8),0)</f>
        <v>1535576790.4227231</v>
      </c>
      <c r="E18" s="18">
        <f>IF(C18&lt;=Rates!$O$1,INT(D18+E17),0)</f>
        <v>6554166088</v>
      </c>
      <c r="F18" s="18">
        <f>IF(C18&lt;=Rates!$O$1,ROUND(F17*(1+'ورود اطلاعات'!$E$9),0),0)</f>
        <v>27640382227</v>
      </c>
      <c r="G18" s="18">
        <f>IF(A18&lt;=5,IF(C18&lt;=Rates!$O$1,$D$3*5/100,0),0)</f>
        <v>0</v>
      </c>
      <c r="H18" s="18">
        <f>IF(A18&lt;=5,ROUND(F18*Rates!$O$9,0),0)</f>
        <v>0</v>
      </c>
      <c r="I18" s="18">
        <f>IF(C18&lt;=Rates!$O$1,D18*Rates!$O$10,0)</f>
        <v>53745187.664795309</v>
      </c>
      <c r="J18" s="18">
        <f>IF(C18&lt;=Rates!$O$1,F18*(VLOOKUP(C18,Rates!$A$1:$D$108,4,FALSE))/(1.1^0.5),0)</f>
        <v>158665994.55700213</v>
      </c>
      <c r="K18" s="18">
        <f>IF(C18&lt;=Rates!$O$1,D18-(G18+H18+I18+J18),0)</f>
        <v>1323165608.2009256</v>
      </c>
      <c r="L18" s="18">
        <f>IF(C18&lt;=Rates!$O$1,(K18+L17)*(1+(IF(B18&lt;=2,Rates!$O$5,IF(B18&lt;=4,Rates!$O$6,Rates!$O$7)))),0)</f>
        <v>9079581505.6004467</v>
      </c>
      <c r="M18" s="18">
        <f>IF(C18&lt;=Rates!$O$1,(B18*D18)+(D18*'ورود اطلاعات'!$E$19/12),0)</f>
        <v>24569228646.763569</v>
      </c>
      <c r="N18" s="18">
        <f>IF(C18&lt;=Rates!$O$1,K18*(1+IF(A18&lt;=2,Rates!$O$5,IF(A18&lt;=4,Rates!$O$6,Rates!$O$7))+(Rates!$O$8-IF(A18&lt;=2,Rates!$O$5,IF(A18&lt;=4,Rates!$O$6,Rates!$O$7)))*(VLOOKUP('ورود اطلاعات'!$E$20,Rates!$V$1:$Y$5,4,FALSE)))+N17*(1+IF(A18&lt;=2,Rates!$O$5,IF(A18&lt;=4,Rates!$O$6,Rates!$O$7))+(Rates!$O$8-IF(A18&lt;=2,Rates!$O$5,IF(A18&lt;=4,Rates!$O$6,Rates!$O$7)))),0)</f>
        <v>16024003278.684198</v>
      </c>
      <c r="O18" s="18">
        <f t="shared" si="1"/>
        <v>0</v>
      </c>
      <c r="P18" s="18">
        <f>IF(A18&lt;=7,VLOOKUP(A18,Rates!$K$1:$L$8,2,FALSE),1)*L18</f>
        <v>9079581505.6004467</v>
      </c>
      <c r="Q18" s="18">
        <f>IF('ورود اطلاعات'!$E$16="بله",IF(C18&lt;=Rates!$O$4,D18*'ورود اطلاعات'!$H$16,0),0)</f>
        <v>82921146682.827042</v>
      </c>
      <c r="R18" s="18">
        <f>IF('ورود اطلاعات'!$E$15="بله",IF(C18&lt;=Rates!$O$3,'ورود اطلاعات'!$H$15*D18,0),0)</f>
        <v>13820191113.804508</v>
      </c>
      <c r="S18" s="18">
        <f>IF(AND(C18&gt;=0,C18&lt;=Rates!$O$2,F18&gt;0),MIN(S17*(1+'ورود اطلاعات'!$E$8),IF('ورود اطلاعات'!$H$22="معمولی", 300000000,5000000000)),0)</f>
        <v>5000000000</v>
      </c>
      <c r="T18" s="18">
        <f>IF(AND(C18&lt;=Rates!$O$11,'ورود اطلاعات'!$E$16="بله"),'ورود اطلاعات'!$N$23*('Offline Table'!Q18),0)</f>
        <v>16584229336.565409</v>
      </c>
      <c r="U18" s="18">
        <f>IFERROR(IF(C18&lt;=Rates!$O$1,0.8/1000,0)*Q18*(1+VLOOKUP('ورود اطلاعات'!$E$25,Rates!$Q$1:$T$9,4,FALSE)/100),"")</f>
        <v>66336917.346261635</v>
      </c>
      <c r="V18" s="18">
        <f>IFERROR(IF(C18&lt;=Rates!$O$2,0.8/1000,0)*R18*(1+VLOOKUP('ورود اطلاعات'!$E$25,Rates!$Q$1:$T$9,4,FALSE)/100),"")</f>
        <v>11056152.891043607</v>
      </c>
      <c r="W18" s="18">
        <f>IF(AND(C18&lt;=Rates!$O$2,'ورود اطلاعات'!$H$22="معمولی"),VLOOKUP(C18,Rates!$A$1:$E$108,5,0),IF(AND(C18&lt;=Rates!$O$2,'ورود اطلاعات'!$H$22="پایه"),VLOOKUP(C18,Rates!$A$1:$F$108,6,0),IF(AND(C18&lt;=Rates!$O$2,'ورود اطلاعات'!$H$22="آسایش "),VLOOKUP(C18,Rates!$A$1:$G$108,7,0),IF(AND(C18&lt;=Rates!$O$2,'ورود اطلاعات'!$H$22="ممتاز"),VLOOKUP(C18,Rates!$A$1:$H$108,8,0),0))))*S18/1000000*(1+'ورود اطلاعات'!$E$22)</f>
        <v>72969650.960603103</v>
      </c>
      <c r="X18" s="18">
        <f>IFERROR(IF(C18&lt;=Rates!$O$11,0.8/1000*T18*(1+VLOOKUP('ورود اطلاعات'!$E$25,Rates!$Q$1:$T$9,4,FALSE)/100),0),"")</f>
        <v>13267383.469252327</v>
      </c>
      <c r="Y18" s="18">
        <f>(D18+U18+V18+W18+X18)*VLOOKUP('ورود اطلاعات'!$E$20,Rates!$V$1:$W$5,2,FALSE)</f>
        <v>0</v>
      </c>
      <c r="Z18" s="18">
        <f t="shared" si="0"/>
        <v>163630104.66716066</v>
      </c>
      <c r="AA18" s="18">
        <f>IFERROR(IF(C18&lt;=Rates!$O$1,VLOOKUP('ورود اطلاعات'!$E$20,Rates!$V$1:$X$5,3,FALSE),0),"")</f>
        <v>1</v>
      </c>
      <c r="AB18" s="18">
        <f>IFERROR(IF(C18&lt;=Rates!$O$1,(D18+Z18)/AA18,0),"")</f>
        <v>1699206895.0898838</v>
      </c>
    </row>
    <row r="19" spans="1:28" x14ac:dyDescent="0.25">
      <c r="A19" s="17">
        <f>IF(A18&lt;&gt;"",IF(A18+1&lt;=(Rates!$O$1-'ورود اطلاعات'!$E$6),A18+1,""),"")</f>
        <v>17</v>
      </c>
      <c r="B19" s="17">
        <f>IF(C19&lt;=Rates!$O$1,B18+1,"")</f>
        <v>17</v>
      </c>
      <c r="C19" s="17">
        <f>IF(C18&lt;Rates!$O$1,C18+1,"")</f>
        <v>56</v>
      </c>
      <c r="D19" s="18">
        <f>IF(C19&lt;=Rates!$O$1,D18*(1+'ورود اطلاعات'!$E$8),0)</f>
        <v>1996249827.54954</v>
      </c>
      <c r="E19" s="18">
        <f>IF(C19&lt;=Rates!$O$1,INT(D19+E18),0)</f>
        <v>8550415915</v>
      </c>
      <c r="F19" s="18">
        <f>IF(C19&lt;=Rates!$O$1,ROUND(F18*(1+'ورود اطلاعات'!$E$9),0),0)</f>
        <v>35932496895</v>
      </c>
      <c r="G19" s="18">
        <f>IF(A19&lt;=5,IF(C19&lt;=Rates!$O$1,$D$3*5/100,0),0)</f>
        <v>0</v>
      </c>
      <c r="H19" s="18">
        <f>IF(A19&lt;=5,ROUND(F19*Rates!$O$9,0),0)</f>
        <v>0</v>
      </c>
      <c r="I19" s="18">
        <f>IF(C19&lt;=Rates!$O$1,D19*Rates!$O$10,0)</f>
        <v>69868743.964233905</v>
      </c>
      <c r="J19" s="18">
        <f>IF(C19&lt;=Rates!$O$1,F19*(VLOOKUP(C19,Rates!$A$1:$D$108,4,FALSE))/(1.1^0.5),0)</f>
        <v>227041481.35228541</v>
      </c>
      <c r="K19" s="18">
        <f>IF(C19&lt;=Rates!$O$1,D19-(G19+H19+I19+J19),0)</f>
        <v>1699339602.2330208</v>
      </c>
      <c r="L19" s="18">
        <f>IF(C19&lt;=Rates!$O$1,(K19+L18)*(1+(IF(B19&lt;=2,Rates!$O$5,IF(B19&lt;=4,Rates!$O$6,Rates!$O$7)))),0)</f>
        <v>11856813218.616816</v>
      </c>
      <c r="M19" s="18">
        <f>IF(C19&lt;=Rates!$O$1,(B19*D19)+(D19*'ورود اطلاعات'!$E$19/12),0)</f>
        <v>33936247068.342182</v>
      </c>
      <c r="N19" s="18">
        <f>IF(C19&lt;=Rates!$O$1,K19*(1+IF(A19&lt;=2,Rates!$O$5,IF(A19&lt;=4,Rates!$O$6,Rates!$O$7))+(Rates!$O$8-IF(A19&lt;=2,Rates!$O$5,IF(A19&lt;=4,Rates!$O$6,Rates!$O$7)))*(VLOOKUP('ورود اطلاعات'!$E$20,Rates!$V$1:$Y$5,4,FALSE)))+N18*(1+IF(A19&lt;=2,Rates!$O$5,IF(A19&lt;=4,Rates!$O$6,Rates!$O$7))+(Rates!$O$8-IF(A19&lt;=2,Rates!$O$5,IF(A19&lt;=4,Rates!$O$6,Rates!$O$7)))),0)</f>
        <v>21397469914.122837</v>
      </c>
      <c r="O19" s="18">
        <f t="shared" si="1"/>
        <v>0</v>
      </c>
      <c r="P19" s="18">
        <f>IF(A19&lt;=7,VLOOKUP(A19,Rates!$K$1:$L$8,2,FALSE),1)*L19</f>
        <v>11856813218.616816</v>
      </c>
      <c r="Q19" s="18">
        <f>IF('ورود اطلاعات'!$E$16="بله",IF(C19&lt;=Rates!$O$4,D19*'ورود اطلاعات'!$H$16,0),0)</f>
        <v>107797490687.67516</v>
      </c>
      <c r="R19" s="18">
        <f>IF('ورود اطلاعات'!$E$15="بله",IF(C19&lt;=Rates!$O$3,'ورود اطلاعات'!$H$15*D19,0),0)</f>
        <v>17966248447.945862</v>
      </c>
      <c r="S19" s="18">
        <f>IF(AND(C19&gt;=0,C19&lt;=Rates!$O$2,F19&gt;0),MIN(S18*(1+'ورود اطلاعات'!$E$8),IF('ورود اطلاعات'!$H$22="معمولی", 300000000,5000000000)),0)</f>
        <v>5000000000</v>
      </c>
      <c r="T19" s="18">
        <f>IF(AND(C19&lt;=Rates!$O$11,'ورود اطلاعات'!$E$16="بله"),'ورود اطلاعات'!$N$23*('Offline Table'!Q19),0)</f>
        <v>21559498137.535034</v>
      </c>
      <c r="U19" s="18">
        <f>IFERROR(IF(C19&lt;=Rates!$O$1,0.8/1000,0)*Q19*(1+VLOOKUP('ورود اطلاعات'!$E$25,Rates!$Q$1:$T$9,4,FALSE)/100),"")</f>
        <v>86237992.550140128</v>
      </c>
      <c r="V19" s="18">
        <f>IFERROR(IF(C19&lt;=Rates!$O$2,0.8/1000,0)*R19*(1+VLOOKUP('ورود اطلاعات'!$E$25,Rates!$Q$1:$T$9,4,FALSE)/100),"")</f>
        <v>14372998.75835669</v>
      </c>
      <c r="W19" s="18">
        <f>IF(AND(C19&lt;=Rates!$O$2,'ورود اطلاعات'!$H$22="معمولی"),VLOOKUP(C19,Rates!$A$1:$E$108,5,0),IF(AND(C19&lt;=Rates!$O$2,'ورود اطلاعات'!$H$22="پایه"),VLOOKUP(C19,Rates!$A$1:$F$108,6,0),IF(AND(C19&lt;=Rates!$O$2,'ورود اطلاعات'!$H$22="آسایش "),VLOOKUP(C19,Rates!$A$1:$G$108,7,0),IF(AND(C19&lt;=Rates!$O$2,'ورود اطلاعات'!$H$22="ممتاز"),VLOOKUP(C19,Rates!$A$1:$H$108,8,0),0))))*S19/1000000*(1+'ورود اطلاعات'!$E$22)</f>
        <v>77817793.642562777</v>
      </c>
      <c r="X19" s="18">
        <f>IFERROR(IF(C19&lt;=Rates!$O$11,0.8/1000*T19*(1+VLOOKUP('ورود اطلاعات'!$E$25,Rates!$Q$1:$T$9,4,FALSE)/100),0),"")</f>
        <v>17247598.510028027</v>
      </c>
      <c r="Y19" s="18">
        <f>(D19+U19+V19+W19+X19)*VLOOKUP('ورود اطلاعات'!$E$20,Rates!$V$1:$W$5,2,FALSE)</f>
        <v>0</v>
      </c>
      <c r="Z19" s="18">
        <f t="shared" si="0"/>
        <v>195676383.46108761</v>
      </c>
      <c r="AA19" s="18">
        <f>IFERROR(IF(C19&lt;=Rates!$O$1,VLOOKUP('ورود اطلاعات'!$E$20,Rates!$V$1:$X$5,3,FALSE),0),"")</f>
        <v>1</v>
      </c>
      <c r="AB19" s="18">
        <f>IFERROR(IF(C19&lt;=Rates!$O$1,(D19+Z19)/AA19,0),"")</f>
        <v>2191926211.0106277</v>
      </c>
    </row>
    <row r="20" spans="1:28" x14ac:dyDescent="0.25">
      <c r="A20" s="17">
        <f>IF(A19&lt;&gt;"",IF(A19+1&lt;=(Rates!$O$1-'ورود اطلاعات'!$E$6),A19+1,""),"")</f>
        <v>18</v>
      </c>
      <c r="B20" s="17">
        <f>IF(C20&lt;=Rates!$O$1,B19+1,"")</f>
        <v>18</v>
      </c>
      <c r="C20" s="17">
        <f>IF(C19&lt;Rates!$O$1,C19+1,"")</f>
        <v>57</v>
      </c>
      <c r="D20" s="18">
        <f>IF(C20&lt;=Rates!$O$1,D19*(1+'ورود اطلاعات'!$E$8),0)</f>
        <v>2595124775.8144021</v>
      </c>
      <c r="E20" s="18">
        <f>IF(C20&lt;=Rates!$O$1,INT(D20+E19),0)</f>
        <v>11145540690</v>
      </c>
      <c r="F20" s="18">
        <f>IF(C20&lt;=Rates!$O$1,ROUND(F19*(1+'ورود اطلاعات'!$E$9),0),0)</f>
        <v>46712245964</v>
      </c>
      <c r="G20" s="18">
        <f>IF(A20&lt;=5,IF(C20&lt;=Rates!$O$1,$D$3*5/100,0),0)</f>
        <v>0</v>
      </c>
      <c r="H20" s="18">
        <f>IF(A20&lt;=5,ROUND(F20*Rates!$O$9,0),0)</f>
        <v>0</v>
      </c>
      <c r="I20" s="18">
        <f>IF(C20&lt;=Rates!$O$1,D20*Rates!$O$10,0)</f>
        <v>90829367.153504089</v>
      </c>
      <c r="J20" s="18">
        <f>IF(C20&lt;=Rates!$O$1,F20*(VLOOKUP(C20,Rates!$A$1:$D$108,4,FALSE))/(1.1^0.5),0)</f>
        <v>326183875.80255693</v>
      </c>
      <c r="K20" s="18">
        <f>IF(C20&lt;=Rates!$O$1,D20-(G20+H20+I20+J20),0)</f>
        <v>2178111532.8583412</v>
      </c>
      <c r="L20" s="18">
        <f>IF(C20&lt;=Rates!$O$1,(K20+L19)*(1+(IF(B20&lt;=2,Rates!$O$5,IF(B20&lt;=4,Rates!$O$6,Rates!$O$7)))),0)</f>
        <v>15438417226.622673</v>
      </c>
      <c r="M20" s="18">
        <f>IF(C20&lt;=Rates!$O$1,(B20*D20)+(D20*'ورود اطلاعات'!$E$19/12),0)</f>
        <v>46712245964.659241</v>
      </c>
      <c r="N20" s="18">
        <f>IF(C20&lt;=Rates!$O$1,K20*(1+IF(A20&lt;=2,Rates!$O$5,IF(A20&lt;=4,Rates!$O$6,Rates!$O$7))+(Rates!$O$8-IF(A20&lt;=2,Rates!$O$5,IF(A20&lt;=4,Rates!$O$6,Rates!$O$7)))*(VLOOKUP('ورود اطلاعات'!$E$20,Rates!$V$1:$Y$5,4,FALSE)))+N19*(1+IF(A20&lt;=2,Rates!$O$5,IF(A20&lt;=4,Rates!$O$6,Rates!$O$7))+(Rates!$O$8-IF(A20&lt;=2,Rates!$O$5,IF(A20&lt;=4,Rates!$O$6,Rates!$O$7)))),0)</f>
        <v>28462903308.319096</v>
      </c>
      <c r="O20" s="18">
        <f t="shared" si="1"/>
        <v>0</v>
      </c>
      <c r="P20" s="18">
        <f>IF(A20&lt;=7,VLOOKUP(A20,Rates!$K$1:$L$8,2,FALSE),1)*L20</f>
        <v>15438417226.622673</v>
      </c>
      <c r="Q20" s="18">
        <f>IF('ورود اطلاعات'!$E$16="بله",IF(C20&lt;=Rates!$O$4,D20*'ورود اطلاعات'!$H$16,0),0)</f>
        <v>140136737893.97772</v>
      </c>
      <c r="R20" s="18">
        <f>IF('ورود اطلاعات'!$E$15="بله",IF(C20&lt;=Rates!$O$3,'ورود اطلاعات'!$H$15*D20,0),0)</f>
        <v>23356122982.32962</v>
      </c>
      <c r="S20" s="18">
        <f>IF(AND(C20&gt;=0,C20&lt;=Rates!$O$2,F20&gt;0),MIN(S19*(1+'ورود اطلاعات'!$E$8),IF('ورود اطلاعات'!$H$22="معمولی", 300000000,5000000000)),0)</f>
        <v>5000000000</v>
      </c>
      <c r="T20" s="18">
        <f>IF(AND(C20&lt;=Rates!$O$11,'ورود اطلاعات'!$E$16="بله"),'ورود اطلاعات'!$N$23*('Offline Table'!Q20),0)</f>
        <v>28027347578.795547</v>
      </c>
      <c r="U20" s="18">
        <f>IFERROR(IF(C20&lt;=Rates!$O$1,0.8/1000,0)*Q20*(1+VLOOKUP('ورود اطلاعات'!$E$25,Rates!$Q$1:$T$9,4,FALSE)/100),"")</f>
        <v>112109390.31518218</v>
      </c>
      <c r="V20" s="18">
        <f>IFERROR(IF(C20&lt;=Rates!$O$2,0.8/1000,0)*R20*(1+VLOOKUP('ورود اطلاعات'!$E$25,Rates!$Q$1:$T$9,4,FALSE)/100),"")</f>
        <v>18684898.385863699</v>
      </c>
      <c r="W20" s="18">
        <f>IF(AND(C20&lt;=Rates!$O$2,'ورود اطلاعات'!$H$22="معمولی"),VLOOKUP(C20,Rates!$A$1:$E$108,5,0),IF(AND(C20&lt;=Rates!$O$2,'ورود اطلاعات'!$H$22="پایه"),VLOOKUP(C20,Rates!$A$1:$F$108,6,0),IF(AND(C20&lt;=Rates!$O$2,'ورود اطلاعات'!$H$22="آسایش "),VLOOKUP(C20,Rates!$A$1:$G$108,7,0),IF(AND(C20&lt;=Rates!$O$2,'ورود اطلاعات'!$H$22="ممتاز"),VLOOKUP(C20,Rates!$A$1:$H$108,8,0),0))))*S20/1000000*(1+'ورود اطلاعات'!$E$22)</f>
        <v>82926722.582230628</v>
      </c>
      <c r="X20" s="18">
        <f>IFERROR(IF(C20&lt;=Rates!$O$11,0.8/1000*T20*(1+VLOOKUP('ورود اطلاعات'!$E$25,Rates!$Q$1:$T$9,4,FALSE)/100),0),"")</f>
        <v>22421878.063036438</v>
      </c>
      <c r="Y20" s="18">
        <f>(D20+U20+V20+W20+X20)*VLOOKUP('ورود اطلاعات'!$E$20,Rates!$V$1:$W$5,2,FALSE)</f>
        <v>0</v>
      </c>
      <c r="Z20" s="18">
        <f t="shared" si="0"/>
        <v>236142889.34631294</v>
      </c>
      <c r="AA20" s="18">
        <f>IFERROR(IF(C20&lt;=Rates!$O$1,VLOOKUP('ورود اطلاعات'!$E$20,Rates!$V$1:$X$5,3,FALSE),0),"")</f>
        <v>1</v>
      </c>
      <c r="AB20" s="18">
        <f>IFERROR(IF(C20&lt;=Rates!$O$1,(D20+Z20)/AA20,0),"")</f>
        <v>2831267665.1607151</v>
      </c>
    </row>
    <row r="21" spans="1:28" x14ac:dyDescent="0.25">
      <c r="A21" s="17">
        <f>IF(A20&lt;&gt;"",IF(A20+1&lt;=(Rates!$O$1-'ورود اطلاعات'!$E$6),A20+1,""),"")</f>
        <v>19</v>
      </c>
      <c r="B21" s="17">
        <f>IF(C21&lt;=Rates!$O$1,B20+1,"")</f>
        <v>19</v>
      </c>
      <c r="C21" s="17">
        <f>IF(C20&lt;Rates!$O$1,C20+1,"")</f>
        <v>58</v>
      </c>
      <c r="D21" s="18">
        <f>IF(C21&lt;=Rates!$O$1,D20*(1+'ورود اطلاعات'!$E$8),0)</f>
        <v>3373662208.558723</v>
      </c>
      <c r="E21" s="18">
        <f>IF(C21&lt;=Rates!$O$1,INT(D21+E20),0)</f>
        <v>14519202898</v>
      </c>
      <c r="F21" s="18">
        <f>IF(C21&lt;=Rates!$O$1,ROUND(F20*(1+'ورود اطلاعات'!$E$9),0),0)</f>
        <v>60725919753</v>
      </c>
      <c r="G21" s="18">
        <f>IF(A21&lt;=5,IF(C21&lt;=Rates!$O$1,$D$3*5/100,0),0)</f>
        <v>0</v>
      </c>
      <c r="H21" s="18">
        <f>IF(A21&lt;=5,ROUND(F21*Rates!$O$9,0),0)</f>
        <v>0</v>
      </c>
      <c r="I21" s="18">
        <f>IF(C21&lt;=Rates!$O$1,D21*Rates!$O$10,0)</f>
        <v>118078177.29955532</v>
      </c>
      <c r="J21" s="18">
        <f>IF(C21&lt;=Rates!$O$1,F21*(VLOOKUP(C21,Rates!$A$1:$D$108,4,FALSE))/(1.1^0.5),0)</f>
        <v>465881569.42203677</v>
      </c>
      <c r="K21" s="18">
        <f>IF(C21&lt;=Rates!$O$1,D21-(G21+H21+I21+J21),0)</f>
        <v>2789702461.837131</v>
      </c>
      <c r="L21" s="18">
        <f>IF(C21&lt;=Rates!$O$1,(K21+L20)*(1+(IF(B21&lt;=2,Rates!$O$5,IF(B21&lt;=4,Rates!$O$6,Rates!$O$7)))),0)</f>
        <v>20050931657.305786</v>
      </c>
      <c r="M21" s="18">
        <f>IF(C21&lt;=Rates!$O$1,(B21*D21)+(D21*'ورود اطلاعات'!$E$19/12),0)</f>
        <v>64099581962.615738</v>
      </c>
      <c r="N21" s="18">
        <f>IF(C21&lt;=Rates!$O$1,K21*(1+IF(A21&lt;=2,Rates!$O$5,IF(A21&lt;=4,Rates!$O$6,Rates!$O$7))+(Rates!$O$8-IF(A21&lt;=2,Rates!$O$5,IF(A21&lt;=4,Rates!$O$6,Rates!$O$7)))*(VLOOKUP('ورود اطلاعات'!$E$20,Rates!$V$1:$Y$5,4,FALSE)))+N20*(1+IF(A21&lt;=2,Rates!$O$5,IF(A21&lt;=4,Rates!$O$6,Rates!$O$7))+(Rates!$O$8-IF(A21&lt;=2,Rates!$O$5,IF(A21&lt;=4,Rates!$O$6,Rates!$O$7)))),0)</f>
        <v>37731408583.47213</v>
      </c>
      <c r="O21" s="18">
        <f t="shared" si="1"/>
        <v>0</v>
      </c>
      <c r="P21" s="18">
        <f>IF(A21&lt;=7,VLOOKUP(A21,Rates!$K$1:$L$8,2,FALSE),1)*L21</f>
        <v>20050931657.305786</v>
      </c>
      <c r="Q21" s="18">
        <f>IF('ورود اطلاعات'!$E$16="بله",IF(C21&lt;=Rates!$O$4,D21*'ورود اطلاعات'!$H$16,0),0)</f>
        <v>182177759262.17105</v>
      </c>
      <c r="R21" s="18">
        <f>IF('ورود اطلاعات'!$E$15="بله",IF(C21&lt;=Rates!$O$3,'ورود اطلاعات'!$H$15*D21,0),0)</f>
        <v>30362959877.028507</v>
      </c>
      <c r="S21" s="18">
        <f>IF(AND(C21&gt;=0,C21&lt;=Rates!$O$2,F21&gt;0),MIN(S20*(1+'ورود اطلاعات'!$E$8),IF('ورود اطلاعات'!$H$22="معمولی", 300000000,5000000000)),0)</f>
        <v>5000000000</v>
      </c>
      <c r="T21" s="18">
        <f>IF(AND(C21&lt;=Rates!$O$11,'ورود اطلاعات'!$E$16="بله"),'ورود اطلاعات'!$N$23*('Offline Table'!Q21),0)</f>
        <v>36435551852.434212</v>
      </c>
      <c r="U21" s="18">
        <f>IFERROR(IF(C21&lt;=Rates!$O$1,0.8/1000,0)*Q21*(1+VLOOKUP('ورود اطلاعات'!$E$25,Rates!$Q$1:$T$9,4,FALSE)/100),"")</f>
        <v>145742207.40973684</v>
      </c>
      <c r="V21" s="18">
        <f>IFERROR(IF(C21&lt;=Rates!$O$2,0.8/1000,0)*R21*(1+VLOOKUP('ورود اطلاعات'!$E$25,Rates!$Q$1:$T$9,4,FALSE)/100),"")</f>
        <v>24290367.901622806</v>
      </c>
      <c r="W21" s="18">
        <f>IF(AND(C21&lt;=Rates!$O$2,'ورود اطلاعات'!$H$22="معمولی"),VLOOKUP(C21,Rates!$A$1:$E$108,5,0),IF(AND(C21&lt;=Rates!$O$2,'ورود اطلاعات'!$H$22="پایه"),VLOOKUP(C21,Rates!$A$1:$F$108,6,0),IF(AND(C21&lt;=Rates!$O$2,'ورود اطلاعات'!$H$22="آسایش "),VLOOKUP(C21,Rates!$A$1:$G$108,7,0),IF(AND(C21&lt;=Rates!$O$2,'ورود اطلاعات'!$H$22="ممتاز"),VLOOKUP(C21,Rates!$A$1:$H$108,8,0),0))))*S21/1000000*(1+'ورود اطلاعات'!$E$22)</f>
        <v>88407815.57469821</v>
      </c>
      <c r="X21" s="18">
        <f>IFERROR(IF(C21&lt;=Rates!$O$11,0.8/1000*T21*(1+VLOOKUP('ورود اطلاعات'!$E$25,Rates!$Q$1:$T$9,4,FALSE)/100),0),"")</f>
        <v>29148441.48194737</v>
      </c>
      <c r="Y21" s="18">
        <f>(D21+U21+V21+W21+X21)*VLOOKUP('ورود اطلاعات'!$E$20,Rates!$V$1:$W$5,2,FALSE)</f>
        <v>0</v>
      </c>
      <c r="Z21" s="18">
        <f t="shared" si="0"/>
        <v>287588832.36800522</v>
      </c>
      <c r="AA21" s="18">
        <f>IFERROR(IF(C21&lt;=Rates!$O$1,VLOOKUP('ورود اطلاعات'!$E$20,Rates!$V$1:$X$5,3,FALSE),0),"")</f>
        <v>1</v>
      </c>
      <c r="AB21" s="18">
        <f>IFERROR(IF(C21&lt;=Rates!$O$1,(D21+Z21)/AA21,0),"")</f>
        <v>3661251040.9267282</v>
      </c>
    </row>
    <row r="22" spans="1:28" x14ac:dyDescent="0.25">
      <c r="A22" s="17">
        <f>IF(A21&lt;&gt;"",IF(A21+1&lt;=(Rates!$O$1-'ورود اطلاعات'!$E$6),A21+1,""),"")</f>
        <v>20</v>
      </c>
      <c r="B22" s="17">
        <f>IF(C22&lt;=Rates!$O$1,B21+1,"")</f>
        <v>20</v>
      </c>
      <c r="C22" s="17">
        <f>IF(C21&lt;Rates!$O$1,C21+1,"")</f>
        <v>59</v>
      </c>
      <c r="D22" s="18">
        <f>IF(C22&lt;=Rates!$O$1,D21*(1+'ورود اطلاعات'!$E$8),0)</f>
        <v>4385760871.1263399</v>
      </c>
      <c r="E22" s="18">
        <f>IF(C22&lt;=Rates!$O$1,INT(D22+E21),0)</f>
        <v>18904963769</v>
      </c>
      <c r="F22" s="18">
        <f>IF(C22&lt;=Rates!$O$1,ROUND(F21*(1+'ورود اطلاعات'!$E$9),0),0)</f>
        <v>78943695679</v>
      </c>
      <c r="G22" s="18">
        <f>IF(A22&lt;=5,IF(C22&lt;=Rates!$O$1,$D$3*5/100,0),0)</f>
        <v>0</v>
      </c>
      <c r="H22" s="18">
        <f>IF(A22&lt;=5,ROUND(F22*Rates!$O$9,0),0)</f>
        <v>0</v>
      </c>
      <c r="I22" s="18">
        <f>IF(C22&lt;=Rates!$O$1,D22*Rates!$O$10,0)</f>
        <v>153501630.4894219</v>
      </c>
      <c r="J22" s="18">
        <f>IF(C22&lt;=Rates!$O$1,F22*(VLOOKUP(C22,Rates!$A$1:$D$108,4,FALSE))/(1.1^0.5),0)</f>
        <v>670754734.76948297</v>
      </c>
      <c r="K22" s="18">
        <f>IF(C22&lt;=Rates!$O$1,D22-(G22+H22+I22+J22),0)</f>
        <v>3561504505.867435</v>
      </c>
      <c r="L22" s="18">
        <f>IF(C22&lt;=Rates!$O$1,(K22+L21)*(1+(IF(B22&lt;=2,Rates!$O$5,IF(B22&lt;=4,Rates!$O$6,Rates!$O$7)))),0)</f>
        <v>25973679779.490547</v>
      </c>
      <c r="M22" s="18">
        <f>IF(C22&lt;=Rates!$O$1,(B22*D22)+(D22*'ورود اطلاعات'!$E$19/12),0)</f>
        <v>87715217422.526794</v>
      </c>
      <c r="N22" s="18">
        <f>IF(C22&lt;=Rates!$O$1,K22*(1+IF(A22&lt;=2,Rates!$O$5,IF(A22&lt;=4,Rates!$O$6,Rates!$O$7))+(Rates!$O$8-IF(A22&lt;=2,Rates!$O$5,IF(A22&lt;=4,Rates!$O$6,Rates!$O$7)))*(VLOOKUP('ورود اطلاعات'!$E$20,Rates!$V$1:$Y$5,4,FALSE)))+N21*(1+IF(A22&lt;=2,Rates!$O$5,IF(A22&lt;=4,Rates!$O$6,Rates!$O$7))+(Rates!$O$8-IF(A22&lt;=2,Rates!$O$5,IF(A22&lt;=4,Rates!$O$6,Rates!$O$7)))),0)</f>
        <v>49853115827.656227</v>
      </c>
      <c r="O22" s="18">
        <f t="shared" si="1"/>
        <v>0</v>
      </c>
      <c r="P22" s="18">
        <f>IF(A22&lt;=7,VLOOKUP(A22,Rates!$K$1:$L$8,2,FALSE),1)*L22</f>
        <v>25973679779.490547</v>
      </c>
      <c r="Q22" s="18">
        <f>IF('ورود اطلاعات'!$E$16="بله",IF(C22&lt;=Rates!$O$4,D22*'ورود اطلاعات'!$H$16,0),0)</f>
        <v>236831087040.82236</v>
      </c>
      <c r="R22" s="18">
        <f>IF('ورود اطلاعات'!$E$15="بله",IF(C22&lt;=Rates!$O$3,'ورود اطلاعات'!$H$15*D22,0),0)</f>
        <v>39471847840.137062</v>
      </c>
      <c r="S22" s="18">
        <f>IF(AND(C22&gt;=0,C22&lt;=Rates!$O$2,F22&gt;0),MIN(S21*(1+'ورود اطلاعات'!$E$8),IF('ورود اطلاعات'!$H$22="معمولی", 300000000,5000000000)),0)</f>
        <v>5000000000</v>
      </c>
      <c r="T22" s="18">
        <f>IF(AND(C22&lt;=Rates!$O$11,'ورود اطلاعات'!$E$16="بله"),'ورود اطلاعات'!$N$23*('Offline Table'!Q22),0)</f>
        <v>47366217408.164474</v>
      </c>
      <c r="U22" s="18">
        <f>IFERROR(IF(C22&lt;=Rates!$O$1,0.8/1000,0)*Q22*(1+VLOOKUP('ورود اطلاعات'!$E$25,Rates!$Q$1:$T$9,4,FALSE)/100),"")</f>
        <v>189464869.63265789</v>
      </c>
      <c r="V22" s="18">
        <f>IFERROR(IF(C22&lt;=Rates!$O$2,0.8/1000,0)*R22*(1+VLOOKUP('ورود اطلاعات'!$E$25,Rates!$Q$1:$T$9,4,FALSE)/100),"")</f>
        <v>31577478.27210965</v>
      </c>
      <c r="W22" s="18">
        <f>IF(AND(C22&lt;=Rates!$O$2,'ورود اطلاعات'!$H$22="معمولی"),VLOOKUP(C22,Rates!$A$1:$E$108,5,0),IF(AND(C22&lt;=Rates!$O$2,'ورود اطلاعات'!$H$22="پایه"),VLOOKUP(C22,Rates!$A$1:$F$108,6,0),IF(AND(C22&lt;=Rates!$O$2,'ورود اطلاعات'!$H$22="آسایش "),VLOOKUP(C22,Rates!$A$1:$G$108,7,0),IF(AND(C22&lt;=Rates!$O$2,'ورود اطلاعات'!$H$22="ممتاز"),VLOOKUP(C22,Rates!$A$1:$H$108,8,0),0))))*S22/1000000*(1+'ورود اطلاعات'!$E$22)</f>
        <v>94430440.027394056</v>
      </c>
      <c r="X22" s="18">
        <f>IFERROR(IF(C22&lt;=Rates!$O$11,0.8/1000*T22*(1+VLOOKUP('ورود اطلاعات'!$E$25,Rates!$Q$1:$T$9,4,FALSE)/100),0),"")</f>
        <v>37892973.926531583</v>
      </c>
      <c r="Y22" s="18">
        <f>(D22+U22+V22+W22+X22)*VLOOKUP('ورود اطلاعات'!$E$20,Rates!$V$1:$W$5,2,FALSE)</f>
        <v>0</v>
      </c>
      <c r="Z22" s="18">
        <f t="shared" si="0"/>
        <v>353365761.85869312</v>
      </c>
      <c r="AA22" s="18">
        <f>IFERROR(IF(C22&lt;=Rates!$O$1,VLOOKUP('ورود اطلاعات'!$E$20,Rates!$V$1:$X$5,3,FALSE),0),"")</f>
        <v>1</v>
      </c>
      <c r="AB22" s="18">
        <f>IFERROR(IF(C22&lt;=Rates!$O$1,(D22+Z22)/AA22,0),"")</f>
        <v>4739126632.985033</v>
      </c>
    </row>
    <row r="23" spans="1:28" x14ac:dyDescent="0.25">
      <c r="A23" s="17">
        <f>IF(A22&lt;&gt;"",IF(A22+1&lt;=(Rates!$O$1-'ورود اطلاعات'!$E$6),A22+1,""),"")</f>
        <v>21</v>
      </c>
      <c r="B23" s="17">
        <f>IF(C23&lt;=Rates!$O$1,B22+1,"")</f>
        <v>21</v>
      </c>
      <c r="C23" s="17">
        <f>IF(C22&lt;Rates!$O$1,C22+1,"")</f>
        <v>60</v>
      </c>
      <c r="D23" s="18">
        <f>IF(C23&lt;=Rates!$O$1,D22*(1+'ورود اطلاعات'!$E$8),0)</f>
        <v>5701489132.464242</v>
      </c>
      <c r="E23" s="18">
        <f>IF(C23&lt;=Rates!$O$1,INT(D23+E22),0)</f>
        <v>24606452901</v>
      </c>
      <c r="F23" s="18">
        <f>IF(C23&lt;=Rates!$O$1,ROUND(F22*(1+'ورود اطلاعات'!$E$9),0),0)</f>
        <v>102626804383</v>
      </c>
      <c r="G23" s="18">
        <f>IF(A23&lt;=5,IF(C23&lt;=Rates!$O$1,$D$3*5/100,0),0)</f>
        <v>0</v>
      </c>
      <c r="H23" s="18">
        <f>IF(A23&lt;=5,ROUND(F23*Rates!$O$9,0),0)</f>
        <v>0</v>
      </c>
      <c r="I23" s="18">
        <f>IF(C23&lt;=Rates!$O$1,D23*Rates!$O$10,0)</f>
        <v>199552119.6362485</v>
      </c>
      <c r="J23" s="18">
        <f>IF(C23&lt;=Rates!$O$1,F23*(VLOOKUP(C23,Rates!$A$1:$D$108,4,FALSE))/(1.1^0.5),0)</f>
        <v>959907856.65191185</v>
      </c>
      <c r="K23" s="18">
        <f>IF(C23&lt;=Rates!$O$1,D23-(G23+H23+I23+J23),0)</f>
        <v>4542029156.1760817</v>
      </c>
      <c r="L23" s="18">
        <f>IF(C23&lt;=Rates!$O$1,(K23+L22)*(1+(IF(B23&lt;=2,Rates!$O$5,IF(B23&lt;=4,Rates!$O$6,Rates!$O$7)))),0)</f>
        <v>33567279829.233295</v>
      </c>
      <c r="M23" s="18">
        <f>IF(C23&lt;=Rates!$O$1,(B23*D23)+(D23*'ورود اطلاعات'!$E$19/12),0)</f>
        <v>119731271781.74908</v>
      </c>
      <c r="N23" s="18">
        <f>IF(C23&lt;=Rates!$O$1,K23*(1+IF(A23&lt;=2,Rates!$O$5,IF(A23&lt;=4,Rates!$O$6,Rates!$O$7))+(Rates!$O$8-IF(A23&lt;=2,Rates!$O$5,IF(A23&lt;=4,Rates!$O$6,Rates!$O$7)))*(VLOOKUP('ورود اطلاعات'!$E$20,Rates!$V$1:$Y$5,4,FALSE)))+N22*(1+IF(A23&lt;=2,Rates!$O$5,IF(A23&lt;=4,Rates!$O$6,Rates!$O$7))+(Rates!$O$8-IF(A23&lt;=2,Rates!$O$5,IF(A23&lt;=4,Rates!$O$6,Rates!$O$7)))),0)</f>
        <v>65671498096.39447</v>
      </c>
      <c r="O23" s="18">
        <f t="shared" si="1"/>
        <v>0</v>
      </c>
      <c r="P23" s="18">
        <f>IF(A23&lt;=7,VLOOKUP(A23,Rates!$K$1:$L$8,2,FALSE),1)*L23</f>
        <v>33567279829.233295</v>
      </c>
      <c r="Q23" s="18">
        <f>IF('ورود اطلاعات'!$E$16="بله",IF(C23&lt;=Rates!$O$4,D23*'ورود اطلاعات'!$H$16,0),0)</f>
        <v>307880413153.06909</v>
      </c>
      <c r="R23" s="18">
        <f>IF('ورود اطلاعات'!$E$15="بله",IF(C23&lt;=Rates!$O$3,'ورود اطلاعات'!$H$15*D23,0),0)</f>
        <v>51313402192.178177</v>
      </c>
      <c r="S23" s="18">
        <f>IF(AND(C23&gt;=0,C23&lt;=Rates!$O$2,F23&gt;0),MIN(S22*(1+'ورود اطلاعات'!$E$8),IF('ورود اطلاعات'!$H$22="معمولی", 300000000,5000000000)),0)</f>
        <v>5000000000</v>
      </c>
      <c r="T23" s="18">
        <f>IF(AND(C23&lt;=Rates!$O$11,'ورود اطلاعات'!$E$16="بله"),'ورود اطلاعات'!$N$23*('Offline Table'!Q23),0)</f>
        <v>61576082630.613823</v>
      </c>
      <c r="U23" s="18">
        <f>IFERROR(IF(C23&lt;=Rates!$O$1,0.8/1000,0)*Q23*(1+VLOOKUP('ورود اطلاعات'!$E$25,Rates!$Q$1:$T$9,4,FALSE)/100),"")</f>
        <v>246304330.52245528</v>
      </c>
      <c r="V23" s="18">
        <f>IFERROR(IF(C23&lt;=Rates!$O$2,0.8/1000,0)*R23*(1+VLOOKUP('ورود اطلاعات'!$E$25,Rates!$Q$1:$T$9,4,FALSE)/100),"")</f>
        <v>41050721.753742546</v>
      </c>
      <c r="W23" s="18">
        <f>IF(AND(C23&lt;=Rates!$O$2,'ورود اطلاعات'!$H$22="معمولی"),VLOOKUP(C23,Rates!$A$1:$E$108,5,0),IF(AND(C23&lt;=Rates!$O$2,'ورود اطلاعات'!$H$22="پایه"),VLOOKUP(C23,Rates!$A$1:$F$108,6,0),IF(AND(C23&lt;=Rates!$O$2,'ورود اطلاعات'!$H$22="آسایش "),VLOOKUP(C23,Rates!$A$1:$G$108,7,0),IF(AND(C23&lt;=Rates!$O$2,'ورود اطلاعات'!$H$22="ممتاز"),VLOOKUP(C23,Rates!$A$1:$H$108,8,0),0))))*S23/1000000*(1+'ورود اطلاعات'!$E$22)</f>
        <v>100839900</v>
      </c>
      <c r="X23" s="18">
        <f>IFERROR(IF(C23&lt;=Rates!$O$11,0.8/1000*T23*(1+VLOOKUP('ورود اطلاعات'!$E$25,Rates!$Q$1:$T$9,4,FALSE)/100),0),"")</f>
        <v>49260866.104491062</v>
      </c>
      <c r="Y23" s="18">
        <f>(D23+U23+V23+W23+X23)*VLOOKUP('ورود اطلاعات'!$E$20,Rates!$V$1:$W$5,2,FALSE)</f>
        <v>0</v>
      </c>
      <c r="Z23" s="18">
        <f t="shared" si="0"/>
        <v>437455818.38068885</v>
      </c>
      <c r="AA23" s="18">
        <f>IFERROR(IF(C23&lt;=Rates!$O$1,VLOOKUP('ورود اطلاعات'!$E$20,Rates!$V$1:$X$5,3,FALSE),0),"")</f>
        <v>1</v>
      </c>
      <c r="AB23" s="18">
        <f>IFERROR(IF(C23&lt;=Rates!$O$1,(D23+Z23)/AA23,0),"")</f>
        <v>6138944950.8449306</v>
      </c>
    </row>
    <row r="24" spans="1:28" x14ac:dyDescent="0.25">
      <c r="A24" s="17">
        <f>IF(A23&lt;&gt;"",IF(A23+1&lt;=(Rates!$O$1-'ورود اطلاعات'!$E$6),A23+1,""),"")</f>
        <v>22</v>
      </c>
      <c r="B24" s="17">
        <f>IF(C24&lt;=Rates!$O$1,B23+1,"")</f>
        <v>22</v>
      </c>
      <c r="C24" s="17">
        <f>IF(C23&lt;Rates!$O$1,C23+1,"")</f>
        <v>61</v>
      </c>
      <c r="D24" s="18">
        <f>IF(C24&lt;=Rates!$O$1,D23*(1+'ورود اطلاعات'!$E$8),0)</f>
        <v>7411935872.2035151</v>
      </c>
      <c r="E24" s="18">
        <f>IF(C24&lt;=Rates!$O$1,INT(D24+E23),0)</f>
        <v>32018388773</v>
      </c>
      <c r="F24" s="18">
        <f>IF(C24&lt;=Rates!$O$1,ROUND(F23*(1+'ورود اطلاعات'!$E$9),0),0)</f>
        <v>133414845698</v>
      </c>
      <c r="G24" s="18">
        <f>IF(A24&lt;=5,IF(C24&lt;=Rates!$O$1,$D$3*5/100,0),0)</f>
        <v>0</v>
      </c>
      <c r="H24" s="18">
        <f>IF(A24&lt;=5,ROUND(F24*Rates!$O$9,0),0)</f>
        <v>0</v>
      </c>
      <c r="I24" s="18">
        <f>IF(C24&lt;=Rates!$O$1,D24*Rates!$O$10,0)</f>
        <v>259417755.52712306</v>
      </c>
      <c r="J24" s="18">
        <f>IF(C24&lt;=Rates!$O$1,F24*(VLOOKUP(C24,Rates!$A$1:$D$108,4,FALSE))/(1.1^0.5),0)</f>
        <v>1380195718.8275785</v>
      </c>
      <c r="K24" s="18">
        <f>IF(C24&lt;=Rates!$O$1,D24-(G24+H24+I24+J24),0)</f>
        <v>5772322397.848814</v>
      </c>
      <c r="L24" s="18">
        <f>IF(C24&lt;=Rates!$O$1,(K24+L23)*(1+(IF(B24&lt;=2,Rates!$O$5,IF(B24&lt;=4,Rates!$O$6,Rates!$O$7)))),0)</f>
        <v>43273562449.790321</v>
      </c>
      <c r="M24" s="18">
        <f>IF(C24&lt;=Rates!$O$1,(B24*D24)+(D24*'ورود اطلاعات'!$E$19/12),0)</f>
        <v>163062589188.47733</v>
      </c>
      <c r="N24" s="18">
        <f>IF(C24&lt;=Rates!$O$1,K24*(1+IF(A24&lt;=2,Rates!$O$5,IF(A24&lt;=4,Rates!$O$6,Rates!$O$7))+(Rates!$O$8-IF(A24&lt;=2,Rates!$O$5,IF(A24&lt;=4,Rates!$O$6,Rates!$O$7)))*(VLOOKUP('ورود اطلاعات'!$E$20,Rates!$V$1:$Y$5,4,FALSE)))+N23*(1+IF(A24&lt;=2,Rates!$O$5,IF(A24&lt;=4,Rates!$O$6,Rates!$O$7))+(Rates!$O$8-IF(A24&lt;=2,Rates!$O$5,IF(A24&lt;=4,Rates!$O$6,Rates!$O$7)))),0)</f>
        <v>86254439122.855194</v>
      </c>
      <c r="O24" s="18">
        <f t="shared" si="1"/>
        <v>0</v>
      </c>
      <c r="P24" s="18">
        <f>IF(A24&lt;=7,VLOOKUP(A24,Rates!$K$1:$L$8,2,FALSE),1)*L24</f>
        <v>43273562449.790321</v>
      </c>
      <c r="Q24" s="18">
        <f>IF('ورود اطلاعات'!$E$16="بله",IF(C24&lt;=Rates!$O$4,D24*'ورود اطلاعات'!$H$16,0),0)</f>
        <v>400244537098.98981</v>
      </c>
      <c r="R24" s="18">
        <f>IF('ورود اطلاعات'!$E$15="بله",IF(C24&lt;=Rates!$O$3,'ورود اطلاعات'!$H$15*D24,0),0)</f>
        <v>66707422849.831635</v>
      </c>
      <c r="S24" s="18">
        <f>IF(AND(C24&gt;=0,C24&lt;=Rates!$O$2,F24&gt;0),MIN(S23*(1+'ورود اطلاعات'!$E$8),IF('ورود اطلاعات'!$H$22="معمولی", 300000000,5000000000)),0)</f>
        <v>0</v>
      </c>
      <c r="T24" s="18">
        <f>IF(AND(C24&lt;=Rates!$O$11,'ورود اطلاعات'!$E$16="بله"),'ورود اطلاعات'!$N$23*('Offline Table'!Q24),0)</f>
        <v>80048907419.797958</v>
      </c>
      <c r="U24" s="18">
        <f>IFERROR(IF(C24&lt;=Rates!$O$1,0.8/1000,0)*Q24*(1+VLOOKUP('ورود اطلاعات'!$E$25,Rates!$Q$1:$T$9,4,FALSE)/100),"")</f>
        <v>320195629.67919189</v>
      </c>
      <c r="V24" s="18">
        <f>IFERROR(IF(C24&lt;=Rates!$O$2,0.8/1000,0)*R24*(1+VLOOKUP('ورود اطلاعات'!$E$25,Rates!$Q$1:$T$9,4,FALSE)/100),"")</f>
        <v>0</v>
      </c>
      <c r="W24" s="18">
        <f>IF(AND(C24&lt;=Rates!$O$2,'ورود اطلاعات'!$H$22="معمولی"),VLOOKUP(C24,Rates!$A$1:$E$108,5,0),IF(AND(C24&lt;=Rates!$O$2,'ورود اطلاعات'!$H$22="پایه"),VLOOKUP(C24,Rates!$A$1:$F$108,6,0),IF(AND(C24&lt;=Rates!$O$2,'ورود اطلاعات'!$H$22="آسایش "),VLOOKUP(C24,Rates!$A$1:$G$108,7,0),IF(AND(C24&lt;=Rates!$O$2,'ورود اطلاعات'!$H$22="ممتاز"),VLOOKUP(C24,Rates!$A$1:$H$108,8,0),0))))*S24/1000000*(1+'ورود اطلاعات'!$E$22)</f>
        <v>0</v>
      </c>
      <c r="X24" s="18">
        <f>IFERROR(IF(C24&lt;=Rates!$O$11,0.8/1000*T24*(1+VLOOKUP('ورود اطلاعات'!$E$25,Rates!$Q$1:$T$9,4,FALSE)/100),0),"")</f>
        <v>64039125.935838372</v>
      </c>
      <c r="Y24" s="18">
        <f>(D24+U24+V24+W24+X24)*VLOOKUP('ورود اطلاعات'!$E$20,Rates!$V$1:$W$5,2,FALSE)</f>
        <v>0</v>
      </c>
      <c r="Z24" s="18">
        <f t="shared" si="0"/>
        <v>384234755.61503029</v>
      </c>
      <c r="AA24" s="18">
        <f>IFERROR(IF(C24&lt;=Rates!$O$1,VLOOKUP('ورود اطلاعات'!$E$20,Rates!$V$1:$X$5,3,FALSE),0),"")</f>
        <v>1</v>
      </c>
      <c r="AB24" s="18">
        <f>IFERROR(IF(C24&lt;=Rates!$O$1,(D24+Z24)/AA24,0),"")</f>
        <v>7796170627.8185453</v>
      </c>
    </row>
    <row r="25" spans="1:28" x14ac:dyDescent="0.25">
      <c r="A25" s="17">
        <f>IF(A24&lt;&gt;"",IF(A24+1&lt;=(Rates!$O$1-'ورود اطلاعات'!$E$6),A24+1,""),"")</f>
        <v>23</v>
      </c>
      <c r="B25" s="17">
        <f>IF(C25&lt;=Rates!$O$1,B24+1,"")</f>
        <v>23</v>
      </c>
      <c r="C25" s="17">
        <f>IF(C24&lt;Rates!$O$1,C24+1,"")</f>
        <v>62</v>
      </c>
      <c r="D25" s="18">
        <f>IF(C25&lt;=Rates!$O$1,D24*(1+'ورود اطلاعات'!$E$8),0)</f>
        <v>9635516633.8645706</v>
      </c>
      <c r="E25" s="18">
        <f>IF(C25&lt;=Rates!$O$1,INT(D25+E24),0)</f>
        <v>41653905406</v>
      </c>
      <c r="F25" s="18">
        <f>IF(C25&lt;=Rates!$O$1,ROUND(F24*(1+'ورود اطلاعات'!$E$9),0),0)</f>
        <v>173439299407</v>
      </c>
      <c r="G25" s="18">
        <f>IF(A25&lt;=5,IF(C25&lt;=Rates!$O$1,$D$3*5/100,0),0)</f>
        <v>0</v>
      </c>
      <c r="H25" s="18">
        <f>IF(A25&lt;=5,ROUND(F25*Rates!$O$9,0),0)</f>
        <v>0</v>
      </c>
      <c r="I25" s="18">
        <f>IF(C25&lt;=Rates!$O$1,D25*Rates!$O$10,0)</f>
        <v>337243082.18526</v>
      </c>
      <c r="J25" s="18">
        <f>IF(C25&lt;=Rates!$O$1,F25*(VLOOKUP(C25,Rates!$A$1:$D$108,4,FALSE))/(1.1^0.5),0)</f>
        <v>1981316119.2989149</v>
      </c>
      <c r="K25" s="18">
        <f>IF(C25&lt;=Rates!$O$1,D25-(G25+H25+I25+J25),0)</f>
        <v>7316957432.3803959</v>
      </c>
      <c r="L25" s="18">
        <f>IF(C25&lt;=Rates!$O$1,(K25+L24)*(1+(IF(B25&lt;=2,Rates!$O$5,IF(B25&lt;=4,Rates!$O$6,Rates!$O$7)))),0)</f>
        <v>55649571870.387794</v>
      </c>
      <c r="M25" s="18">
        <f>IF(C25&lt;=Rates!$O$1,(B25*D25)+(D25*'ورود اطلاعات'!$E$19/12),0)</f>
        <v>221616882578.88513</v>
      </c>
      <c r="N25" s="18">
        <f>IF(C25&lt;=Rates!$O$1,K25*(1+IF(A25&lt;=2,Rates!$O$5,IF(A25&lt;=4,Rates!$O$6,Rates!$O$7))+(Rates!$O$8-IF(A25&lt;=2,Rates!$O$5,IF(A25&lt;=4,Rates!$O$6,Rates!$O$7)))*(VLOOKUP('ورود اطلاعات'!$E$20,Rates!$V$1:$Y$5,4,FALSE)))+N24*(1+IF(A25&lt;=2,Rates!$O$5,IF(A25&lt;=4,Rates!$O$6,Rates!$O$7))+(Rates!$O$8-IF(A25&lt;=2,Rates!$O$5,IF(A25&lt;=4,Rates!$O$6,Rates!$O$7)))),0)</f>
        <v>112969159151.62239</v>
      </c>
      <c r="O25" s="18">
        <f t="shared" si="1"/>
        <v>0</v>
      </c>
      <c r="P25" s="18">
        <f>IF(A25&lt;=7,VLOOKUP(A25,Rates!$K$1:$L$8,2,FALSE),1)*L25</f>
        <v>55649571870.387794</v>
      </c>
      <c r="Q25" s="18">
        <f>IF('ورود اطلاعات'!$E$16="بله",IF(C25&lt;=Rates!$O$4,D25*'ورود اطلاعات'!$H$16,0),0)</f>
        <v>520317898228.68683</v>
      </c>
      <c r="R25" s="18">
        <f>IF('ورود اطلاعات'!$E$15="بله",IF(C25&lt;=Rates!$O$3,'ورود اطلاعات'!$H$15*D25,0),0)</f>
        <v>86719649704.781128</v>
      </c>
      <c r="S25" s="18">
        <f>IF(AND(C25&gt;=0,C25&lt;=Rates!$O$2,F25&gt;0),MIN(S24*(1+'ورود اطلاعات'!$E$8),IF('ورود اطلاعات'!$H$22="معمولی", 300000000,5000000000)),0)</f>
        <v>0</v>
      </c>
      <c r="T25" s="18">
        <f>IF(AND(C25&lt;=Rates!$O$11,'ورود اطلاعات'!$E$16="بله"),'ورود اطلاعات'!$N$23*('Offline Table'!Q25),0)</f>
        <v>104063579645.73737</v>
      </c>
      <c r="U25" s="18">
        <f>IFERROR(IF(C25&lt;=Rates!$O$1,0.8/1000,0)*Q25*(1+VLOOKUP('ورود اطلاعات'!$E$25,Rates!$Q$1:$T$9,4,FALSE)/100),"")</f>
        <v>416254318.58294946</v>
      </c>
      <c r="V25" s="18">
        <f>IFERROR(IF(C25&lt;=Rates!$O$2,0.8/1000,0)*R25*(1+VLOOKUP('ورود اطلاعات'!$E$25,Rates!$Q$1:$T$9,4,FALSE)/100),"")</f>
        <v>0</v>
      </c>
      <c r="W25" s="18">
        <f>IF(AND(C25&lt;=Rates!$O$2,'ورود اطلاعات'!$H$22="معمولی"),VLOOKUP(C25,Rates!$A$1:$E$108,5,0),IF(AND(C25&lt;=Rates!$O$2,'ورود اطلاعات'!$H$22="پایه"),VLOOKUP(C25,Rates!$A$1:$F$108,6,0),IF(AND(C25&lt;=Rates!$O$2,'ورود اطلاعات'!$H$22="آسایش "),VLOOKUP(C25,Rates!$A$1:$G$108,7,0),IF(AND(C25&lt;=Rates!$O$2,'ورود اطلاعات'!$H$22="ممتاز"),VLOOKUP(C25,Rates!$A$1:$H$108,8,0),0))))*S25/1000000*(1+'ورود اطلاعات'!$E$22)</f>
        <v>0</v>
      </c>
      <c r="X25" s="18">
        <f>IFERROR(IF(C25&lt;=Rates!$O$11,0.8/1000*T25*(1+VLOOKUP('ورود اطلاعات'!$E$25,Rates!$Q$1:$T$9,4,FALSE)/100),0),"")</f>
        <v>83250863.716589898</v>
      </c>
      <c r="Y25" s="18">
        <f>(D25+U25+V25+W25+X25)*VLOOKUP('ورود اطلاعات'!$E$20,Rates!$V$1:$W$5,2,FALSE)</f>
        <v>0</v>
      </c>
      <c r="Z25" s="18">
        <f t="shared" si="0"/>
        <v>499505182.29953933</v>
      </c>
      <c r="AA25" s="18">
        <f>IFERROR(IF(C25&lt;=Rates!$O$1,VLOOKUP('ورود اطلاعات'!$E$20,Rates!$V$1:$X$5,3,FALSE),0),"")</f>
        <v>1</v>
      </c>
      <c r="AB25" s="18">
        <f>IFERROR(IF(C25&lt;=Rates!$O$1,(D25+Z25)/AA25,0),"")</f>
        <v>10135021816.16411</v>
      </c>
    </row>
    <row r="26" spans="1:28" x14ac:dyDescent="0.25">
      <c r="A26" s="17">
        <f>IF(A25&lt;&gt;"",IF(A25+1&lt;=(Rates!$O$1-'ورود اطلاعات'!$E$6),A25+1,""),"")</f>
        <v>24</v>
      </c>
      <c r="B26" s="17">
        <f>IF(C26&lt;=Rates!$O$1,B25+1,"")</f>
        <v>24</v>
      </c>
      <c r="C26" s="17">
        <f>IF(C25&lt;Rates!$O$1,C25+1,"")</f>
        <v>63</v>
      </c>
      <c r="D26" s="18">
        <f>IF(C26&lt;=Rates!$O$1,D25*(1+'ورود اطلاعات'!$E$8),0)</f>
        <v>12526171624.023943</v>
      </c>
      <c r="E26" s="18">
        <f>IF(C26&lt;=Rates!$O$1,INT(D26+E25),0)</f>
        <v>54180077030</v>
      </c>
      <c r="F26" s="18">
        <f>IF(C26&lt;=Rates!$O$1,ROUND(F25*(1+'ورود اطلاعات'!$E$9),0),0)</f>
        <v>225471089229</v>
      </c>
      <c r="G26" s="18">
        <f>IF(A26&lt;=5,IF(C26&lt;=Rates!$O$1,$D$3*5/100,0),0)</f>
        <v>0</v>
      </c>
      <c r="H26" s="18">
        <f>IF(A26&lt;=5,ROUND(F26*Rates!$O$9,0),0)</f>
        <v>0</v>
      </c>
      <c r="I26" s="18">
        <f>IF(C26&lt;=Rates!$O$1,D26*Rates!$O$10,0)</f>
        <v>438416006.84083807</v>
      </c>
      <c r="J26" s="18">
        <f>IF(C26&lt;=Rates!$O$1,F26*(VLOOKUP(C26,Rates!$A$1:$D$108,4,FALSE))/(1.1^0.5),0)</f>
        <v>2845104518.5571628</v>
      </c>
      <c r="K26" s="18">
        <f>IF(C26&lt;=Rates!$O$1,D26-(G26+H26+I26+J26),0)</f>
        <v>9242651098.6259422</v>
      </c>
      <c r="L26" s="18">
        <f>IF(C26&lt;=Rates!$O$1,(K26+L25)*(1+(IF(B26&lt;=2,Rates!$O$5,IF(B26&lt;=4,Rates!$O$6,Rates!$O$7)))),0)</f>
        <v>71381445265.915115</v>
      </c>
      <c r="M26" s="18">
        <f>IF(C26&lt;=Rates!$O$1,(B26*D26)+(D26*'ورود اطلاعات'!$E$19/12),0)</f>
        <v>300628118976.57465</v>
      </c>
      <c r="N26" s="18">
        <f>IF(C26&lt;=Rates!$O$1,K26*(1+IF(A26&lt;=2,Rates!$O$5,IF(A26&lt;=4,Rates!$O$6,Rates!$O$7))+(Rates!$O$8-IF(A26&lt;=2,Rates!$O$5,IF(A26&lt;=4,Rates!$O$6,Rates!$O$7)))*(VLOOKUP('ورود اطلاعات'!$E$20,Rates!$V$1:$Y$5,4,FALSE)))+N25*(1+IF(A26&lt;=2,Rates!$O$5,IF(A26&lt;=4,Rates!$O$6,Rates!$O$7))+(Rates!$O$8-IF(A26&lt;=2,Rates!$O$5,IF(A26&lt;=4,Rates!$O$6,Rates!$O$7)))),0)</f>
        <v>147546856738.6225</v>
      </c>
      <c r="O26" s="18">
        <f t="shared" si="1"/>
        <v>0</v>
      </c>
      <c r="P26" s="18">
        <f>IF(A26&lt;=7,VLOOKUP(A26,Rates!$K$1:$L$8,2,FALSE),1)*L26</f>
        <v>71381445265.915115</v>
      </c>
      <c r="Q26" s="18">
        <f>IF('ورود اطلاعات'!$E$16="بله",IF(C26&lt;=Rates!$O$4,D26*'ورود اطلاعات'!$H$16,0),0)</f>
        <v>676413267697.29297</v>
      </c>
      <c r="R26" s="18">
        <f>IF('ورود اطلاعات'!$E$15="بله",IF(C26&lt;=Rates!$O$3,'ورود اطلاعات'!$H$15*D26,0),0)</f>
        <v>112735544616.21548</v>
      </c>
      <c r="S26" s="18">
        <f>IF(AND(C26&gt;=0,C26&lt;=Rates!$O$2,F26&gt;0),MIN(S25*(1+'ورود اطلاعات'!$E$8),IF('ورود اطلاعات'!$H$22="معمولی", 300000000,5000000000)),0)</f>
        <v>0</v>
      </c>
      <c r="T26" s="18">
        <f>IF(AND(C26&lt;=Rates!$O$11,'ورود اطلاعات'!$E$16="بله"),'ورود اطلاعات'!$N$23*('Offline Table'!Q26),0)</f>
        <v>135282653539.4586</v>
      </c>
      <c r="U26" s="18">
        <f>IFERROR(IF(C26&lt;=Rates!$O$1,0.8/1000,0)*Q26*(1+VLOOKUP('ورود اطلاعات'!$E$25,Rates!$Q$1:$T$9,4,FALSE)/100),"")</f>
        <v>541130614.15783441</v>
      </c>
      <c r="V26" s="18">
        <f>IFERROR(IF(C26&lt;=Rates!$O$2,0.8/1000,0)*R26*(1+VLOOKUP('ورود اطلاعات'!$E$25,Rates!$Q$1:$T$9,4,FALSE)/100),"")</f>
        <v>0</v>
      </c>
      <c r="W26" s="18">
        <f>IF(AND(C26&lt;=Rates!$O$2,'ورود اطلاعات'!$H$22="معمولی"),VLOOKUP(C26,Rates!$A$1:$E$108,5,0),IF(AND(C26&lt;=Rates!$O$2,'ورود اطلاعات'!$H$22="پایه"),VLOOKUP(C26,Rates!$A$1:$F$108,6,0),IF(AND(C26&lt;=Rates!$O$2,'ورود اطلاعات'!$H$22="آسایش "),VLOOKUP(C26,Rates!$A$1:$G$108,7,0),IF(AND(C26&lt;=Rates!$O$2,'ورود اطلاعات'!$H$22="ممتاز"),VLOOKUP(C26,Rates!$A$1:$H$108,8,0),0))))*S26/1000000*(1+'ورود اطلاعات'!$E$22)</f>
        <v>0</v>
      </c>
      <c r="X26" s="18">
        <f>IFERROR(IF(C26&lt;=Rates!$O$11,0.8/1000*T26*(1+VLOOKUP('ورود اطلاعات'!$E$25,Rates!$Q$1:$T$9,4,FALSE)/100),0),"")</f>
        <v>108226122.83156689</v>
      </c>
      <c r="Y26" s="18">
        <f>(D26+U26+V26+W26+X26)*VLOOKUP('ورود اطلاعات'!$E$20,Rates!$V$1:$W$5,2,FALSE)</f>
        <v>0</v>
      </c>
      <c r="Z26" s="18">
        <f t="shared" si="0"/>
        <v>649356736.98940134</v>
      </c>
      <c r="AA26" s="18">
        <f>IFERROR(IF(C26&lt;=Rates!$O$1,VLOOKUP('ورود اطلاعات'!$E$20,Rates!$V$1:$X$5,3,FALSE),0),"")</f>
        <v>1</v>
      </c>
      <c r="AB26" s="18">
        <f>IFERROR(IF(C26&lt;=Rates!$O$1,(D26+Z26)/AA26,0),"")</f>
        <v>13175528361.013344</v>
      </c>
    </row>
    <row r="27" spans="1:28" x14ac:dyDescent="0.25">
      <c r="A27" s="17">
        <f>IF(A26&lt;&gt;"",IF(A26+1&lt;=(Rates!$O$1-'ورود اطلاعات'!$E$6),A26+1,""),"")</f>
        <v>25</v>
      </c>
      <c r="B27" s="17">
        <f>IF(C27&lt;=Rates!$O$1,B26+1,"")</f>
        <v>25</v>
      </c>
      <c r="C27" s="17">
        <f>IF(C26&lt;Rates!$O$1,C26+1,"")</f>
        <v>64</v>
      </c>
      <c r="D27" s="18">
        <f>IF(C27&lt;=Rates!$O$1,D26*(1+'ورود اطلاعات'!$E$8),0)</f>
        <v>16284023111.231127</v>
      </c>
      <c r="E27" s="18">
        <f>IF(C27&lt;=Rates!$O$1,INT(D27+E26),0)</f>
        <v>70464100141</v>
      </c>
      <c r="F27" s="18">
        <f>IF(C27&lt;=Rates!$O$1,ROUND(F26*(1+'ورود اطلاعات'!$E$9),0),0)</f>
        <v>293112415998</v>
      </c>
      <c r="G27" s="18">
        <f>IF(A27&lt;=5,IF(C27&lt;=Rates!$O$1,$D$3*5/100,0),0)</f>
        <v>0</v>
      </c>
      <c r="H27" s="18">
        <f>IF(A27&lt;=5,ROUND(F27*Rates!$O$9,0),0)</f>
        <v>0</v>
      </c>
      <c r="I27" s="18">
        <f>IF(C27&lt;=Rates!$O$1,D27*Rates!$O$10,0)</f>
        <v>569940808.89308953</v>
      </c>
      <c r="J27" s="18">
        <f>IF(C27&lt;=Rates!$O$1,F27*(VLOOKUP(C27,Rates!$A$1:$D$108,4,FALSE))/(1.1^0.5),0)</f>
        <v>4092364524.5149875</v>
      </c>
      <c r="K27" s="18">
        <f>IF(C27&lt;=Rates!$O$1,D27-(G27+H27+I27+J27),0)</f>
        <v>11621717777.82305</v>
      </c>
      <c r="L27" s="18">
        <f>IF(C27&lt;=Rates!$O$1,(K27+L26)*(1+(IF(B27&lt;=2,Rates!$O$5,IF(B27&lt;=4,Rates!$O$6,Rates!$O$7)))),0)</f>
        <v>91303479348.111984</v>
      </c>
      <c r="M27" s="18">
        <f>IF(C27&lt;=Rates!$O$1,(B27*D27)+(D27*'ورود اطلاعات'!$E$19/12),0)</f>
        <v>407100577780.7782</v>
      </c>
      <c r="N27" s="18">
        <f>IF(C27&lt;=Rates!$O$1,K27*(1+IF(A27&lt;=2,Rates!$O$5,IF(A27&lt;=4,Rates!$O$6,Rates!$O$7))+(Rates!$O$8-IF(A27&lt;=2,Rates!$O$5,IF(A27&lt;=4,Rates!$O$6,Rates!$O$7)))*(VLOOKUP('ورود اطلاعات'!$E$20,Rates!$V$1:$Y$5,4,FALSE)))+N26*(1+IF(A27&lt;=2,Rates!$O$5,IF(A27&lt;=4,Rates!$O$6,Rates!$O$7))+(Rates!$O$8-IF(A27&lt;=2,Rates!$O$5,IF(A27&lt;=4,Rates!$O$6,Rates!$O$7)))),0)</f>
        <v>192164920995.60428</v>
      </c>
      <c r="O27" s="18">
        <f t="shared" si="1"/>
        <v>0</v>
      </c>
      <c r="P27" s="18">
        <f>IF(A27&lt;=7,VLOOKUP(A27,Rates!$K$1:$L$8,2,FALSE),1)*L27</f>
        <v>91303479348.111984</v>
      </c>
      <c r="Q27" s="18">
        <f>IF('ورود اطلاعات'!$E$16="بله",IF(C27&lt;=Rates!$O$4,D27*'ورود اطلاعات'!$H$16,0),0)</f>
        <v>879337248006.48083</v>
      </c>
      <c r="R27" s="18">
        <f>IF('ورود اطلاعات'!$E$15="بله",IF(C27&lt;=Rates!$O$3,'ورود اطلاعات'!$H$15*D27,0),0)</f>
        <v>146556208001.08014</v>
      </c>
      <c r="S27" s="18">
        <f>IF(AND(C27&gt;=0,C27&lt;=Rates!$O$2,F27&gt;0),MIN(S26*(1+'ورود اطلاعات'!$E$8),IF('ورود اطلاعات'!$H$22="معمولی", 300000000,5000000000)),0)</f>
        <v>0</v>
      </c>
      <c r="T27" s="18">
        <f>IF(AND(C27&lt;=Rates!$O$11,'ورود اطلاعات'!$E$16="بله"),'ورود اطلاعات'!$N$23*('Offline Table'!Q27),0)</f>
        <v>175867449601.29617</v>
      </c>
      <c r="U27" s="18">
        <f>IFERROR(IF(C27&lt;=Rates!$O$1,0.8/1000,0)*Q27*(1+VLOOKUP('ورود اطلاعات'!$E$25,Rates!$Q$1:$T$9,4,FALSE)/100),"")</f>
        <v>703469798.40518475</v>
      </c>
      <c r="V27" s="18">
        <f>IFERROR(IF(C27&lt;=Rates!$O$2,0.8/1000,0)*R27*(1+VLOOKUP('ورود اطلاعات'!$E$25,Rates!$Q$1:$T$9,4,FALSE)/100),"")</f>
        <v>0</v>
      </c>
      <c r="W27" s="18">
        <f>IF(AND(C27&lt;=Rates!$O$2,'ورود اطلاعات'!$H$22="معمولی"),VLOOKUP(C27,Rates!$A$1:$E$108,5,0),IF(AND(C27&lt;=Rates!$O$2,'ورود اطلاعات'!$H$22="پایه"),VLOOKUP(C27,Rates!$A$1:$F$108,6,0),IF(AND(C27&lt;=Rates!$O$2,'ورود اطلاعات'!$H$22="آسایش "),VLOOKUP(C27,Rates!$A$1:$G$108,7,0),IF(AND(C27&lt;=Rates!$O$2,'ورود اطلاعات'!$H$22="ممتاز"),VLOOKUP(C27,Rates!$A$1:$H$108,8,0),0))))*S27/1000000*(1+'ورود اطلاعات'!$E$22)</f>
        <v>0</v>
      </c>
      <c r="X27" s="18">
        <f>IFERROR(IF(C27&lt;=Rates!$O$11,0.8/1000*T27*(1+VLOOKUP('ورود اطلاعات'!$E$25,Rates!$Q$1:$T$9,4,FALSE)/100),0),"")</f>
        <v>140693959.68103695</v>
      </c>
      <c r="Y27" s="18">
        <f>(D27+U27+V27+W27+X27)*VLOOKUP('ورود اطلاعات'!$E$20,Rates!$V$1:$W$5,2,FALSE)</f>
        <v>0</v>
      </c>
      <c r="Z27" s="18">
        <f t="shared" si="0"/>
        <v>844163758.08622169</v>
      </c>
      <c r="AA27" s="18">
        <f>IFERROR(IF(C27&lt;=Rates!$O$1,VLOOKUP('ورود اطلاعات'!$E$20,Rates!$V$1:$X$5,3,FALSE),0),"")</f>
        <v>1</v>
      </c>
      <c r="AB27" s="18">
        <f>IFERROR(IF(C27&lt;=Rates!$O$1,(D27+Z27)/AA27,0),"")</f>
        <v>17128186869.317348</v>
      </c>
    </row>
    <row r="28" spans="1:28" x14ac:dyDescent="0.25">
      <c r="A28" s="17">
        <f>IF(A27&lt;&gt;"",IF(A27+1&lt;=(Rates!$O$1-'ورود اطلاعات'!$E$6),A27+1,""),"")</f>
        <v>26</v>
      </c>
      <c r="B28" s="17">
        <f>IF(C28&lt;=Rates!$O$1,B27+1,"")</f>
        <v>26</v>
      </c>
      <c r="C28" s="17">
        <f>IF(C27&lt;Rates!$O$1,C27+1,"")</f>
        <v>65</v>
      </c>
      <c r="D28" s="18">
        <f>IF(C28&lt;=Rates!$O$1,D27*(1+'ورود اطلاعات'!$E$8),0)</f>
        <v>21169230044.600464</v>
      </c>
      <c r="E28" s="18">
        <f>IF(C28&lt;=Rates!$O$1,INT(D28+E27),0)</f>
        <v>91633330185</v>
      </c>
      <c r="F28" s="18">
        <f>IF(C28&lt;=Rates!$O$1,ROUND(F27*(1+'ورود اطلاعات'!$E$9),0),0)</f>
        <v>381046140797</v>
      </c>
      <c r="G28" s="18">
        <f>IF(A28&lt;=5,IF(C28&lt;=Rates!$O$1,$D$3*5/100,0),0)</f>
        <v>0</v>
      </c>
      <c r="H28" s="18">
        <f>IF(A28&lt;=5,ROUND(F28*Rates!$O$9,0),0)</f>
        <v>0</v>
      </c>
      <c r="I28" s="18">
        <f>IF(C28&lt;=Rates!$O$1,D28*Rates!$O$10,0)</f>
        <v>740923051.56101632</v>
      </c>
      <c r="J28" s="18">
        <f>IF(C28&lt;=Rates!$O$1,F28*(VLOOKUP(C28,Rates!$A$1:$D$108,4,FALSE))/(1.1^0.5),0)</f>
        <v>5879848942.4042778</v>
      </c>
      <c r="K28" s="18">
        <f>IF(C28&lt;=Rates!$O$1,D28-(G28+H28+I28+J28),0)</f>
        <v>14548458050.63517</v>
      </c>
      <c r="L28" s="18">
        <f>IF(C28&lt;=Rates!$O$1,(K28+L27)*(1+(IF(B28&lt;=2,Rates!$O$5,IF(B28&lt;=4,Rates!$O$6,Rates!$O$7)))),0)</f>
        <v>116437131138.62189</v>
      </c>
      <c r="M28" s="18">
        <f>IF(C28&lt;=Rates!$O$1,(B28*D28)+(D28*'ورود اطلاعات'!$E$19/12),0)</f>
        <v>550399981159.61206</v>
      </c>
      <c r="N28" s="18">
        <f>IF(C28&lt;=Rates!$O$1,K28*(1+IF(A28&lt;=2,Rates!$O$5,IF(A28&lt;=4,Rates!$O$6,Rates!$O$7))+(Rates!$O$8-IF(A28&lt;=2,Rates!$O$5,IF(A28&lt;=4,Rates!$O$6,Rates!$O$7)))*(VLOOKUP('ورود اطلاعات'!$E$20,Rates!$V$1:$Y$5,4,FALSE)))+N27*(1+IF(A28&lt;=2,Rates!$O$5,IF(A28&lt;=4,Rates!$O$6,Rates!$O$7))+(Rates!$O$8-IF(A28&lt;=2,Rates!$O$5,IF(A28&lt;=4,Rates!$O$6,Rates!$O$7)))),0)</f>
        <v>249565972892.7883</v>
      </c>
      <c r="O28" s="18">
        <f t="shared" si="1"/>
        <v>0</v>
      </c>
      <c r="P28" s="18">
        <f>IF(A28&lt;=7,VLOOKUP(A28,Rates!$K$1:$L$8,2,FALSE),1)*L28</f>
        <v>116437131138.62189</v>
      </c>
      <c r="Q28" s="18">
        <f>IF('ورود اطلاعات'!$E$16="بله",IF(C28&lt;=Rates!$O$4,D28*'ورود اطلاعات'!$H$16,0),0)</f>
        <v>1143138422408.425</v>
      </c>
      <c r="R28" s="18">
        <f>IF('ورود اطلاعات'!$E$15="بله",IF(C28&lt;=Rates!$O$3,'ورود اطلاعات'!$H$15*D28,0),0)</f>
        <v>190523070401.40417</v>
      </c>
      <c r="S28" s="18">
        <f>IF(AND(C28&gt;=0,C28&lt;=Rates!$O$2,F28&gt;0),MIN(S27*(1+'ورود اطلاعات'!$E$8),IF('ورود اطلاعات'!$H$22="معمولی", 300000000,5000000000)),0)</f>
        <v>0</v>
      </c>
      <c r="T28" s="18">
        <f>IF(AND(C28&lt;=Rates!$O$11,'ورود اطلاعات'!$E$16="بله"),'ورود اطلاعات'!$N$23*('Offline Table'!Q28),0)</f>
        <v>228627684481.68503</v>
      </c>
      <c r="U28" s="18">
        <f>IFERROR(IF(C28&lt;=Rates!$O$1,0.8/1000,0)*Q28*(1+VLOOKUP('ورود اطلاعات'!$E$25,Rates!$Q$1:$T$9,4,FALSE)/100),"")</f>
        <v>914510737.92674005</v>
      </c>
      <c r="V28" s="18">
        <f>IFERROR(IF(C28&lt;=Rates!$O$2,0.8/1000,0)*R28*(1+VLOOKUP('ورود اطلاعات'!$E$25,Rates!$Q$1:$T$9,4,FALSE)/100),"")</f>
        <v>0</v>
      </c>
      <c r="W28" s="18">
        <f>IF(AND(C28&lt;=Rates!$O$2,'ورود اطلاعات'!$H$22="معمولی"),VLOOKUP(C28,Rates!$A$1:$E$108,5,0),IF(AND(C28&lt;=Rates!$O$2,'ورود اطلاعات'!$H$22="پایه"),VLOOKUP(C28,Rates!$A$1:$F$108,6,0),IF(AND(C28&lt;=Rates!$O$2,'ورود اطلاعات'!$H$22="آسایش "),VLOOKUP(C28,Rates!$A$1:$G$108,7,0),IF(AND(C28&lt;=Rates!$O$2,'ورود اطلاعات'!$H$22="ممتاز"),VLOOKUP(C28,Rates!$A$1:$H$108,8,0),0))))*S28/1000000*(1+'ورود اطلاعات'!$E$22)</f>
        <v>0</v>
      </c>
      <c r="X28" s="18">
        <f>IFERROR(IF(C28&lt;=Rates!$O$11,0.8/1000*T28*(1+VLOOKUP('ورود اطلاعات'!$E$25,Rates!$Q$1:$T$9,4,FALSE)/100),0),"")</f>
        <v>182902147.58534804</v>
      </c>
      <c r="Y28" s="18">
        <f>(D28+U28+V28+W28+X28)*VLOOKUP('ورود اطلاعات'!$E$20,Rates!$V$1:$W$5,2,FALSE)</f>
        <v>0</v>
      </c>
      <c r="Z28" s="18">
        <f t="shared" si="0"/>
        <v>1097412885.5120881</v>
      </c>
      <c r="AA28" s="18">
        <f>IFERROR(IF(C28&lt;=Rates!$O$1,VLOOKUP('ورود اطلاعات'!$E$20,Rates!$V$1:$X$5,3,FALSE),0),"")</f>
        <v>1</v>
      </c>
      <c r="AB28" s="18">
        <f>IFERROR(IF(C28&lt;=Rates!$O$1,(D28+Z28)/AA28,0),"")</f>
        <v>22266642930.112553</v>
      </c>
    </row>
    <row r="29" spans="1:28" x14ac:dyDescent="0.25">
      <c r="A29" s="17">
        <f>IF(A28&lt;&gt;"",IF(A28+1&lt;=(Rates!$O$1-'ورود اطلاعات'!$E$6),A28+1,""),"")</f>
        <v>27</v>
      </c>
      <c r="B29" s="17">
        <f>IF(C29&lt;=Rates!$O$1,B28+1,"")</f>
        <v>27</v>
      </c>
      <c r="C29" s="17">
        <f>IF(C28&lt;Rates!$O$1,C28+1,"")</f>
        <v>66</v>
      </c>
      <c r="D29" s="18">
        <f>IF(C29&lt;=Rates!$O$1,D28*(1+'ورود اطلاعات'!$E$8),0)</f>
        <v>27519999057.980602</v>
      </c>
      <c r="E29" s="18">
        <f>IF(C29&lt;=Rates!$O$1,INT(D29+E28),0)</f>
        <v>119153329242</v>
      </c>
      <c r="F29" s="18">
        <f>IF(C29&lt;=Rates!$O$1,ROUND(F28*(1+'ورود اطلاعات'!$E$9),0),0)</f>
        <v>495359983036</v>
      </c>
      <c r="G29" s="18">
        <f>IF(A29&lt;=5,IF(C29&lt;=Rates!$O$1,$D$3*5/100,0),0)</f>
        <v>0</v>
      </c>
      <c r="H29" s="18">
        <f>IF(A29&lt;=5,ROUND(F29*Rates!$O$9,0),0)</f>
        <v>0</v>
      </c>
      <c r="I29" s="18">
        <f>IF(C29&lt;=Rates!$O$1,D29*Rates!$O$10,0)</f>
        <v>963199967.02932119</v>
      </c>
      <c r="J29" s="18">
        <f>IF(C29&lt;=Rates!$O$1,F29*(VLOOKUP(C29,Rates!$A$1:$D$108,4,FALSE))/(1.1^0.5),0)</f>
        <v>8445925513.1321096</v>
      </c>
      <c r="K29" s="18">
        <f>IF(C29&lt;=Rates!$O$1,D29-(G29+H29+I29+J29),0)</f>
        <v>18110873577.819172</v>
      </c>
      <c r="L29" s="18">
        <f>IF(C29&lt;=Rates!$O$1,(K29+L28)*(1+(IF(B29&lt;=2,Rates!$O$5,IF(B29&lt;=4,Rates!$O$6,Rates!$O$7)))),0)</f>
        <v>148002805188.08517</v>
      </c>
      <c r="M29" s="18">
        <f>IF(C29&lt;=Rates!$O$1,(B29*D29)+(D29*'ورود اطلاعات'!$E$19/12),0)</f>
        <v>743039974565.47632</v>
      </c>
      <c r="N29" s="18">
        <f>IF(C29&lt;=Rates!$O$1,K29*(1+IF(A29&lt;=2,Rates!$O$5,IF(A29&lt;=4,Rates!$O$6,Rates!$O$7))+(Rates!$O$8-IF(A29&lt;=2,Rates!$O$5,IF(A29&lt;=4,Rates!$O$6,Rates!$O$7)))*(VLOOKUP('ورود اطلاعات'!$E$20,Rates!$V$1:$Y$5,4,FALSE)))+N28*(1+IF(A29&lt;=2,Rates!$O$5,IF(A29&lt;=4,Rates!$O$6,Rates!$O$7))+(Rates!$O$8-IF(A29&lt;=2,Rates!$O$5,IF(A29&lt;=4,Rates!$O$6,Rates!$O$7)))),0)</f>
        <v>323167435598.67792</v>
      </c>
      <c r="O29" s="18">
        <f t="shared" si="1"/>
        <v>0</v>
      </c>
      <c r="P29" s="18">
        <f>IF(A29&lt;=7,VLOOKUP(A29,Rates!$K$1:$L$8,2,FALSE),1)*L29</f>
        <v>148002805188.08517</v>
      </c>
      <c r="Q29" s="18">
        <f>IF('ورود اطلاعات'!$E$16="بله",IF(C29&lt;=Rates!$O$4,D29*'ورود اطلاعات'!$H$16,0),0)</f>
        <v>1486079949130.9526</v>
      </c>
      <c r="R29" s="18">
        <f>IF('ورود اطلاعات'!$E$15="بله",IF(C29&lt;=Rates!$O$3,'ورود اطلاعات'!$H$15*D29,0),0)</f>
        <v>0</v>
      </c>
      <c r="S29" s="18">
        <f>IF(AND(C29&gt;=0,C29&lt;=Rates!$O$2,F29&gt;0),MIN(S28*(1+'ورود اطلاعات'!$E$8),IF('ورود اطلاعات'!$H$22="معمولی", 300000000,5000000000)),0)</f>
        <v>0</v>
      </c>
      <c r="T29" s="18">
        <f>IF(AND(C29&lt;=Rates!$O$11,'ورود اطلاعات'!$E$16="بله"),'ورود اطلاعات'!$N$23*('Offline Table'!Q29),0)</f>
        <v>0</v>
      </c>
      <c r="U29" s="18">
        <f>IFERROR(IF(C29&lt;=Rates!$O$1,0.8/1000,0)*Q29*(1+VLOOKUP('ورود اطلاعات'!$E$25,Rates!$Q$1:$T$9,4,FALSE)/100),"")</f>
        <v>1188863959.3047621</v>
      </c>
      <c r="V29" s="18">
        <f>IFERROR(IF(C29&lt;=Rates!$O$2,0.8/1000,0)*R29*(1+VLOOKUP('ورود اطلاعات'!$E$25,Rates!$Q$1:$T$9,4,FALSE)/100),"")</f>
        <v>0</v>
      </c>
      <c r="W29" s="18">
        <f>IF(AND(C29&lt;=Rates!$O$2,'ورود اطلاعات'!$H$22="معمولی"),VLOOKUP(C29,Rates!$A$1:$E$108,5,0),IF(AND(C29&lt;=Rates!$O$2,'ورود اطلاعات'!$H$22="پایه"),VLOOKUP(C29,Rates!$A$1:$F$108,6,0),IF(AND(C29&lt;=Rates!$O$2,'ورود اطلاعات'!$H$22="آسایش "),VLOOKUP(C29,Rates!$A$1:$G$108,7,0),IF(AND(C29&lt;=Rates!$O$2,'ورود اطلاعات'!$H$22="ممتاز"),VLOOKUP(C29,Rates!$A$1:$H$108,8,0),0))))*S29/1000000*(1+'ورود اطلاعات'!$E$22)</f>
        <v>0</v>
      </c>
      <c r="X29" s="18">
        <f>IFERROR(IF(C29&lt;=Rates!$O$11,0.8/1000*T29*(1+VLOOKUP('ورود اطلاعات'!$E$25,Rates!$Q$1:$T$9,4,FALSE)/100),0),"")</f>
        <v>0</v>
      </c>
      <c r="Y29" s="18">
        <f>(D29+U29+V29+W29+X29)*VLOOKUP('ورود اطلاعات'!$E$20,Rates!$V$1:$W$5,2,FALSE)</f>
        <v>0</v>
      </c>
      <c r="Z29" s="18">
        <f t="shared" si="0"/>
        <v>1188863959.3047621</v>
      </c>
      <c r="AA29" s="18">
        <f>IFERROR(IF(C29&lt;=Rates!$O$1,VLOOKUP('ورود اطلاعات'!$E$20,Rates!$V$1:$X$5,3,FALSE),0),"")</f>
        <v>1</v>
      </c>
      <c r="AB29" s="18">
        <f>IFERROR(IF(C29&lt;=Rates!$O$1,(D29+Z29)/AA29,0),"")</f>
        <v>28708863017.285366</v>
      </c>
    </row>
    <row r="30" spans="1:28" x14ac:dyDescent="0.25">
      <c r="A30" s="17">
        <f>IF(A29&lt;&gt;"",IF(A29+1&lt;=(Rates!$O$1-'ورود اطلاعات'!$E$6),A29+1,""),"")</f>
        <v>28</v>
      </c>
      <c r="B30" s="17">
        <f>IF(C30&lt;=Rates!$O$1,B29+1,"")</f>
        <v>28</v>
      </c>
      <c r="C30" s="17">
        <f>IF(C29&lt;Rates!$O$1,C29+1,"")</f>
        <v>67</v>
      </c>
      <c r="D30" s="18">
        <f>IF(C30&lt;=Rates!$O$1,D29*(1+'ورود اطلاعات'!$E$8),0)</f>
        <v>35775998775.374786</v>
      </c>
      <c r="E30" s="18">
        <f>IF(C30&lt;=Rates!$O$1,INT(D30+E29),0)</f>
        <v>154929328017</v>
      </c>
      <c r="F30" s="18">
        <f>IF(C30&lt;=Rates!$O$1,ROUND(F29*(1+'ورود اطلاعات'!$E$9),0),0)</f>
        <v>643967977947</v>
      </c>
      <c r="G30" s="18">
        <f>IF(A30&lt;=5,IF(C30&lt;=Rates!$O$1,$D$3*5/100,0),0)</f>
        <v>0</v>
      </c>
      <c r="H30" s="18">
        <f>IF(A30&lt;=5,ROUND(F30*Rates!$O$9,0),0)</f>
        <v>0</v>
      </c>
      <c r="I30" s="18">
        <f>IF(C30&lt;=Rates!$O$1,D30*Rates!$O$10,0)</f>
        <v>1252159957.1381176</v>
      </c>
      <c r="J30" s="18">
        <f>IF(C30&lt;=Rates!$O$1,F30*(VLOOKUP(C30,Rates!$A$1:$D$108,4,FALSE))/(1.1^0.5),0)</f>
        <v>12137206013.033628</v>
      </c>
      <c r="K30" s="18">
        <f>IF(C30&lt;=Rates!$O$1,D30-(G30+H30+I30+J30),0)</f>
        <v>22386632805.203041</v>
      </c>
      <c r="L30" s="18">
        <f>IF(C30&lt;=Rates!$O$1,(K30+L29)*(1+(IF(B30&lt;=2,Rates!$O$5,IF(B30&lt;=4,Rates!$O$6,Rates!$O$7)))),0)</f>
        <v>187428381792.61703</v>
      </c>
      <c r="M30" s="18">
        <f>IF(C30&lt;=Rates!$O$1,(B30*D30)+(D30*'ورود اطلاعات'!$E$19/12),0)</f>
        <v>1001727965710.494</v>
      </c>
      <c r="N30" s="18">
        <f>IF(C30&lt;=Rates!$O$1,K30*(1+IF(A30&lt;=2,Rates!$O$5,IF(A30&lt;=4,Rates!$O$6,Rates!$O$7))+(Rates!$O$8-IF(A30&lt;=2,Rates!$O$5,IF(A30&lt;=4,Rates!$O$6,Rates!$O$7)))*(VLOOKUP('ورود اطلاعات'!$E$20,Rates!$V$1:$Y$5,4,FALSE)))+N29*(1+IF(A30&lt;=2,Rates!$O$5,IF(A30&lt;=4,Rates!$O$6,Rates!$O$7))+(Rates!$O$8-IF(A30&lt;=2,Rates!$O$5,IF(A30&lt;=4,Rates!$O$6,Rates!$O$7)))),0)</f>
        <v>417188948611.71558</v>
      </c>
      <c r="O30" s="18">
        <f t="shared" si="1"/>
        <v>0</v>
      </c>
      <c r="P30" s="18">
        <f>IF(A30&lt;=7,VLOOKUP(A30,Rates!$K$1:$L$8,2,FALSE),1)*L30</f>
        <v>187428381792.61703</v>
      </c>
      <c r="Q30" s="18">
        <f>IF('ورود اطلاعات'!$E$16="بله",IF(C30&lt;=Rates!$O$4,D30*'ورود اطلاعات'!$H$16,0),0)</f>
        <v>1931903933870.2385</v>
      </c>
      <c r="R30" s="18">
        <f>IF('ورود اطلاعات'!$E$15="بله",IF(C30&lt;=Rates!$O$3,'ورود اطلاعات'!$H$15*D30,0),0)</f>
        <v>0</v>
      </c>
      <c r="S30" s="18">
        <f>IF(AND(C30&gt;=0,C30&lt;=Rates!$O$2,F30&gt;0),MIN(S29*(1+'ورود اطلاعات'!$E$8),IF('ورود اطلاعات'!$H$22="معمولی", 300000000,5000000000)),0)</f>
        <v>0</v>
      </c>
      <c r="T30" s="18">
        <f>IF(AND(C30&lt;=Rates!$O$11,'ورود اطلاعات'!$E$16="بله"),'ورود اطلاعات'!$N$23*('Offline Table'!Q30),0)</f>
        <v>0</v>
      </c>
      <c r="U30" s="18">
        <f>IFERROR(IF(C30&lt;=Rates!$O$1,0.8/1000,0)*Q30*(1+VLOOKUP('ورود اطلاعات'!$E$25,Rates!$Q$1:$T$9,4,FALSE)/100),"")</f>
        <v>1545523147.0961909</v>
      </c>
      <c r="V30" s="18">
        <f>IFERROR(IF(C30&lt;=Rates!$O$2,0.8/1000,0)*R30*(1+VLOOKUP('ورود اطلاعات'!$E$25,Rates!$Q$1:$T$9,4,FALSE)/100),"")</f>
        <v>0</v>
      </c>
      <c r="W30" s="18">
        <f>IF(AND(C30&lt;=Rates!$O$2,'ورود اطلاعات'!$H$22="معمولی"),VLOOKUP(C30,Rates!$A$1:$E$108,5,0),IF(AND(C30&lt;=Rates!$O$2,'ورود اطلاعات'!$H$22="پایه"),VLOOKUP(C30,Rates!$A$1:$F$108,6,0),IF(AND(C30&lt;=Rates!$O$2,'ورود اطلاعات'!$H$22="آسایش "),VLOOKUP(C30,Rates!$A$1:$G$108,7,0),IF(AND(C30&lt;=Rates!$O$2,'ورود اطلاعات'!$H$22="ممتاز"),VLOOKUP(C30,Rates!$A$1:$H$108,8,0),0))))*S30/1000000*(1+'ورود اطلاعات'!$E$22)</f>
        <v>0</v>
      </c>
      <c r="X30" s="18">
        <f>IFERROR(IF(C30&lt;=Rates!$O$11,0.8/1000*T30*(1+VLOOKUP('ورود اطلاعات'!$E$25,Rates!$Q$1:$T$9,4,FALSE)/100),0),"")</f>
        <v>0</v>
      </c>
      <c r="Y30" s="18">
        <f>(D30+U30+V30+W30+X30)*VLOOKUP('ورود اطلاعات'!$E$20,Rates!$V$1:$W$5,2,FALSE)</f>
        <v>0</v>
      </c>
      <c r="Z30" s="18">
        <f t="shared" si="0"/>
        <v>1545523147.0961909</v>
      </c>
      <c r="AA30" s="18">
        <f>IFERROR(IF(C30&lt;=Rates!$O$1,VLOOKUP('ورود اطلاعات'!$E$20,Rates!$V$1:$X$5,3,FALSE),0),"")</f>
        <v>1</v>
      </c>
      <c r="AB30" s="18">
        <f>IFERROR(IF(C30&lt;=Rates!$O$1,(D30+Z30)/AA30,0),"")</f>
        <v>37321521922.470978</v>
      </c>
    </row>
    <row r="31" spans="1:28" x14ac:dyDescent="0.25">
      <c r="A31" s="17">
        <f>IF(A30&lt;&gt;"",IF(A30+1&lt;=(Rates!$O$1-'ورود اطلاعات'!$E$6),A30+1,""),"")</f>
        <v>29</v>
      </c>
      <c r="B31" s="17">
        <f>IF(C31&lt;=Rates!$O$1,B30+1,"")</f>
        <v>29</v>
      </c>
      <c r="C31" s="17">
        <f>IF(C30&lt;Rates!$O$1,C30+1,"")</f>
        <v>68</v>
      </c>
      <c r="D31" s="18">
        <f>IF(C31&lt;=Rates!$O$1,D30*(1+'ورود اطلاعات'!$E$8),0)</f>
        <v>46508798407.987221</v>
      </c>
      <c r="E31" s="18">
        <f>IF(C31&lt;=Rates!$O$1,INT(D31+E30),0)</f>
        <v>201438126424</v>
      </c>
      <c r="F31" s="18">
        <f>IF(C31&lt;=Rates!$O$1,ROUND(F30*(1+'ورود اطلاعات'!$E$9),0),0)</f>
        <v>837158371331</v>
      </c>
      <c r="G31" s="18">
        <f>IF(A31&lt;=5,IF(C31&lt;=Rates!$O$1,$D$3*5/100,0),0)</f>
        <v>0</v>
      </c>
      <c r="H31" s="18">
        <f>IF(A31&lt;=5,ROUND(F31*Rates!$O$9,0),0)</f>
        <v>0</v>
      </c>
      <c r="I31" s="18">
        <f>IF(C31&lt;=Rates!$O$1,D31*Rates!$O$10,0)</f>
        <v>1627807944.2795529</v>
      </c>
      <c r="J31" s="18">
        <f>IF(C31&lt;=Rates!$O$1,F31*(VLOOKUP(C31,Rates!$A$1:$D$108,4,FALSE))/(1.1^0.5),0)</f>
        <v>17449120767.462799</v>
      </c>
      <c r="K31" s="18">
        <f>IF(C31&lt;=Rates!$O$1,D31-(G31+H31+I31+J31),0)</f>
        <v>27431869696.244869</v>
      </c>
      <c r="L31" s="18">
        <f>IF(C31&lt;=Rates!$O$1,(K31+L30)*(1+(IF(B31&lt;=2,Rates!$O$5,IF(B31&lt;=4,Rates!$O$6,Rates!$O$7)))),0)</f>
        <v>236346276637.74811</v>
      </c>
      <c r="M31" s="18">
        <f>IF(C31&lt;=Rates!$O$1,(B31*D31)+(D31*'ورود اطلاعات'!$E$19/12),0)</f>
        <v>1348755153831.6294</v>
      </c>
      <c r="N31" s="18">
        <f>IF(C31&lt;=Rates!$O$1,K31*(1+IF(A31&lt;=2,Rates!$O$5,IF(A31&lt;=4,Rates!$O$6,Rates!$O$7))+(Rates!$O$8-IF(A31&lt;=2,Rates!$O$5,IF(A31&lt;=4,Rates!$O$6,Rates!$O$7)))*(VLOOKUP('ورود اطلاعات'!$E$20,Rates!$V$1:$Y$5,4,FALSE)))+N30*(1+IF(A31&lt;=2,Rates!$O$5,IF(A31&lt;=4,Rates!$O$6,Rates!$O$7))+(Rates!$O$8-IF(A31&lt;=2,Rates!$O$5,IF(A31&lt;=4,Rates!$O$6,Rates!$O$7)))),0)</f>
        <v>536792672063.05408</v>
      </c>
      <c r="O31" s="18">
        <f t="shared" si="1"/>
        <v>0</v>
      </c>
      <c r="P31" s="18">
        <f>IF(A31&lt;=7,VLOOKUP(A31,Rates!$K$1:$L$8,2,FALSE),1)*L31</f>
        <v>236346276637.74811</v>
      </c>
      <c r="Q31" s="18">
        <f>IF('ورود اطلاعات'!$E$16="بله",IF(C31&lt;=Rates!$O$4,D31*'ورود اطلاعات'!$H$16,0),0)</f>
        <v>2511475114031.3101</v>
      </c>
      <c r="R31" s="18">
        <f>IF('ورود اطلاعات'!$E$15="بله",IF(C31&lt;=Rates!$O$3,'ورود اطلاعات'!$H$15*D31,0),0)</f>
        <v>0</v>
      </c>
      <c r="S31" s="18">
        <f>IF(AND(C31&gt;=0,C31&lt;=Rates!$O$2,F31&gt;0),MIN(S30*(1+'ورود اطلاعات'!$E$8),IF('ورود اطلاعات'!$H$22="معمولی", 300000000,5000000000)),0)</f>
        <v>0</v>
      </c>
      <c r="T31" s="18">
        <f>IF(AND(C31&lt;=Rates!$O$11,'ورود اطلاعات'!$E$16="بله"),'ورود اطلاعات'!$N$23*('Offline Table'!Q31),0)</f>
        <v>0</v>
      </c>
      <c r="U31" s="18">
        <f>IFERROR(IF(C31&lt;=Rates!$O$1,0.8/1000,0)*Q31*(1+VLOOKUP('ورود اطلاعات'!$E$25,Rates!$Q$1:$T$9,4,FALSE)/100),"")</f>
        <v>2009180091.2250481</v>
      </c>
      <c r="V31" s="18">
        <f>IFERROR(IF(C31&lt;=Rates!$O$2,0.8/1000,0)*R31*(1+VLOOKUP('ورود اطلاعات'!$E$25,Rates!$Q$1:$T$9,4,FALSE)/100),"")</f>
        <v>0</v>
      </c>
      <c r="W31" s="18">
        <f>IF(AND(C31&lt;=Rates!$O$2,'ورود اطلاعات'!$H$22="معمولی"),VLOOKUP(C31,Rates!$A$1:$E$108,5,0),IF(AND(C31&lt;=Rates!$O$2,'ورود اطلاعات'!$H$22="پایه"),VLOOKUP(C31,Rates!$A$1:$F$108,6,0),IF(AND(C31&lt;=Rates!$O$2,'ورود اطلاعات'!$H$22="آسایش "),VLOOKUP(C31,Rates!$A$1:$G$108,7,0),IF(AND(C31&lt;=Rates!$O$2,'ورود اطلاعات'!$H$22="ممتاز"),VLOOKUP(C31,Rates!$A$1:$H$108,8,0),0))))*S31/1000000*(1+'ورود اطلاعات'!$E$22)</f>
        <v>0</v>
      </c>
      <c r="X31" s="18">
        <f>IFERROR(IF(C31&lt;=Rates!$O$11,0.8/1000*T31*(1+VLOOKUP('ورود اطلاعات'!$E$25,Rates!$Q$1:$T$9,4,FALSE)/100),0),"")</f>
        <v>0</v>
      </c>
      <c r="Y31" s="18">
        <f>(D31+U31+V31+W31+X31)*VLOOKUP('ورود اطلاعات'!$E$20,Rates!$V$1:$W$5,2,FALSE)</f>
        <v>0</v>
      </c>
      <c r="Z31" s="18">
        <f t="shared" si="0"/>
        <v>2009180091.2250481</v>
      </c>
      <c r="AA31" s="18">
        <f>IFERROR(IF(C31&lt;=Rates!$O$1,VLOOKUP('ورود اطلاعات'!$E$20,Rates!$V$1:$X$5,3,FALSE),0),"")</f>
        <v>1</v>
      </c>
      <c r="AB31" s="18">
        <f>IFERROR(IF(C31&lt;=Rates!$O$1,(D31+Z31)/AA31,0),"")</f>
        <v>48517978499.212265</v>
      </c>
    </row>
    <row r="32" spans="1:28" x14ac:dyDescent="0.25">
      <c r="A32" s="17">
        <f>IF(A31&lt;&gt;"",IF(A31+1&lt;=(Rates!$O$1-'ورود اطلاعات'!$E$6),A31+1,""),"")</f>
        <v>30</v>
      </c>
      <c r="B32" s="17">
        <f>IF(C32&lt;=Rates!$O$1,B31+1,"")</f>
        <v>30</v>
      </c>
      <c r="C32" s="17">
        <f>IF(C31&lt;Rates!$O$1,C31+1,"")</f>
        <v>69</v>
      </c>
      <c r="D32" s="18">
        <f>IF(C32&lt;=Rates!$O$1,D31*(1+'ورود اطلاعات'!$E$8),0)</f>
        <v>60461437930.383392</v>
      </c>
      <c r="E32" s="18">
        <f>IF(C32&lt;=Rates!$O$1,INT(D32+E31),0)</f>
        <v>261899564354</v>
      </c>
      <c r="F32" s="18">
        <f>IF(C32&lt;=Rates!$O$1,ROUND(F31*(1+'ورود اطلاعات'!$E$9),0),0)</f>
        <v>1088305882730</v>
      </c>
      <c r="G32" s="18">
        <f>IF(A32&lt;=5,IF(C32&lt;=Rates!$O$1,$D$3*5/100,0),0)</f>
        <v>0</v>
      </c>
      <c r="H32" s="18">
        <f>IF(A32&lt;=5,ROUND(F32*Rates!$O$9,0),0)</f>
        <v>0</v>
      </c>
      <c r="I32" s="18">
        <f>IF(C32&lt;=Rates!$O$1,D32*Rates!$O$10,0)</f>
        <v>2116150327.5634189</v>
      </c>
      <c r="J32" s="18">
        <f>IF(C32&lt;=Rates!$O$1,F32*(VLOOKUP(C32,Rates!$A$1:$D$108,4,FALSE))/(1.1^0.5),0)</f>
        <v>25070788598.227612</v>
      </c>
      <c r="K32" s="18">
        <f>IF(C32&lt;=Rates!$O$1,D32-(G32+H32+I32+J32),0)</f>
        <v>33274499004.592361</v>
      </c>
      <c r="L32" s="18">
        <f>IF(C32&lt;=Rates!$O$1,(K32+L31)*(1+(IF(B32&lt;=2,Rates!$O$5,IF(B32&lt;=4,Rates!$O$6,Rates!$O$7)))),0)</f>
        <v>296582853206.57452</v>
      </c>
      <c r="M32" s="18">
        <f>IF(C32&lt;=Rates!$O$1,(B32*D32)+(D32*'ورود اطلاعات'!$E$19/12),0)</f>
        <v>1813843137911.5017</v>
      </c>
      <c r="N32" s="18">
        <f>IF(C32&lt;=Rates!$O$1,K32*(1+IF(A32&lt;=2,Rates!$O$5,IF(A32&lt;=4,Rates!$O$6,Rates!$O$7))+(Rates!$O$8-IF(A32&lt;=2,Rates!$O$5,IF(A32&lt;=4,Rates!$O$6,Rates!$O$7)))*(VLOOKUP('ورود اطلاعات'!$E$20,Rates!$V$1:$Y$5,4,FALSE)))+N31*(1+IF(A32&lt;=2,Rates!$O$5,IF(A32&lt;=4,Rates!$O$6,Rates!$O$7))+(Rates!$O$8-IF(A32&lt;=2,Rates!$O$5,IF(A32&lt;=4,Rates!$O$6,Rates!$O$7)))),0)</f>
        <v>688244606218.31702</v>
      </c>
      <c r="O32" s="18">
        <f t="shared" si="1"/>
        <v>0</v>
      </c>
      <c r="P32" s="18">
        <f>IF(A32&lt;=7,VLOOKUP(A32,Rates!$K$1:$L$8,2,FALSE),1)*L32</f>
        <v>296582853206.57452</v>
      </c>
      <c r="Q32" s="18">
        <f>IF('ورود اطلاعات'!$E$16="بله",IF(C32&lt;=Rates!$O$4,D32*'ورود اطلاعات'!$H$16,0),0)</f>
        <v>3264917648240.7031</v>
      </c>
      <c r="R32" s="18">
        <f>IF('ورود اطلاعات'!$E$15="بله",IF(C32&lt;=Rates!$O$3,'ورود اطلاعات'!$H$15*D32,0),0)</f>
        <v>0</v>
      </c>
      <c r="S32" s="18">
        <f>IF(AND(C32&gt;=0,C32&lt;=Rates!$O$2,F32&gt;0),MIN(S31*(1+'ورود اطلاعات'!$E$8),IF('ورود اطلاعات'!$H$22="معمولی", 300000000,5000000000)),0)</f>
        <v>0</v>
      </c>
      <c r="T32" s="18">
        <f>IF(AND(C32&lt;=Rates!$O$11,'ورود اطلاعات'!$E$16="بله"),'ورود اطلاعات'!$N$23*('Offline Table'!Q32),0)</f>
        <v>0</v>
      </c>
      <c r="U32" s="18">
        <f>IFERROR(IF(C32&lt;=Rates!$O$1,0.8/1000,0)*Q32*(1+VLOOKUP('ورود اطلاعات'!$E$25,Rates!$Q$1:$T$9,4,FALSE)/100),"")</f>
        <v>2611934118.5925627</v>
      </c>
      <c r="V32" s="18">
        <f>IFERROR(IF(C32&lt;=Rates!$O$2,0.8/1000,0)*R32*(1+VLOOKUP('ورود اطلاعات'!$E$25,Rates!$Q$1:$T$9,4,FALSE)/100),"")</f>
        <v>0</v>
      </c>
      <c r="W32" s="18">
        <f>IF(AND(C32&lt;=Rates!$O$2,'ورود اطلاعات'!$H$22="معمولی"),VLOOKUP(C32,Rates!$A$1:$E$108,5,0),IF(AND(C32&lt;=Rates!$O$2,'ورود اطلاعات'!$H$22="پایه"),VLOOKUP(C32,Rates!$A$1:$F$108,6,0),IF(AND(C32&lt;=Rates!$O$2,'ورود اطلاعات'!$H$22="آسایش "),VLOOKUP(C32,Rates!$A$1:$G$108,7,0),IF(AND(C32&lt;=Rates!$O$2,'ورود اطلاعات'!$H$22="ممتاز"),VLOOKUP(C32,Rates!$A$1:$H$108,8,0),0))))*S32/1000000*(1+'ورود اطلاعات'!$E$22)</f>
        <v>0</v>
      </c>
      <c r="X32" s="18">
        <f>IFERROR(IF(C32&lt;=Rates!$O$11,0.8/1000*T32*(1+VLOOKUP('ورود اطلاعات'!$E$25,Rates!$Q$1:$T$9,4,FALSE)/100),0),"")</f>
        <v>0</v>
      </c>
      <c r="Y32" s="18">
        <f>(D32+U32+V32+W32+X32)*VLOOKUP('ورود اطلاعات'!$E$20,Rates!$V$1:$W$5,2,FALSE)</f>
        <v>0</v>
      </c>
      <c r="Z32" s="18">
        <f t="shared" si="0"/>
        <v>2611934118.5925627</v>
      </c>
      <c r="AA32" s="18">
        <f>IFERROR(IF(C32&lt;=Rates!$O$1,VLOOKUP('ورود اطلاعات'!$E$20,Rates!$V$1:$X$5,3,FALSE),0),"")</f>
        <v>1</v>
      </c>
      <c r="AB32" s="18">
        <f>IFERROR(IF(C32&lt;=Rates!$O$1,(D32+Z32)/AA32,0),"")</f>
        <v>63073372048.975952</v>
      </c>
    </row>
    <row r="33" spans="1:28" x14ac:dyDescent="0.25">
      <c r="A33" s="17">
        <f>IF(A32&lt;&gt;"",IF(A32+1&lt;=(Rates!$O$1-'ورود اطلاعات'!$E$6),A32+1,""),"")</f>
        <v>31</v>
      </c>
      <c r="B33" s="17">
        <f>IF(C33&lt;=Rates!$O$1,B32+1,"")</f>
        <v>31</v>
      </c>
      <c r="C33" s="17">
        <f>IF(C32&lt;Rates!$O$1,C32+1,"")</f>
        <v>70</v>
      </c>
      <c r="D33" s="18">
        <f>IF(C33&lt;=Rates!$O$1,D32*(1+'ورود اطلاعات'!$E$8),0)</f>
        <v>78599869309.498413</v>
      </c>
      <c r="E33" s="18">
        <f>IF(C33&lt;=Rates!$O$1,INT(D33+E32),0)</f>
        <v>340499433663</v>
      </c>
      <c r="F33" s="18">
        <f>IF(C33&lt;=Rates!$O$1,ROUND(F32*(1+'ورود اطلاعات'!$E$9),0),0)</f>
        <v>1414797647549</v>
      </c>
      <c r="G33" s="18">
        <f>IF(A33&lt;=5,IF(C33&lt;=Rates!$O$1,$D$3*5/100,0),0)</f>
        <v>0</v>
      </c>
      <c r="H33" s="18">
        <f>IF(A33&lt;=5,ROUND(F33*Rates!$O$9,0),0)</f>
        <v>0</v>
      </c>
      <c r="I33" s="18">
        <f>IF(C33&lt;=Rates!$O$1,D33*Rates!$O$10,0)</f>
        <v>2750995425.8324447</v>
      </c>
      <c r="J33" s="18">
        <f>IF(C33&lt;=Rates!$O$1,F33*(VLOOKUP(C33,Rates!$A$1:$D$108,4,FALSE))/(1.1^0.5),0)</f>
        <v>36031406463.672447</v>
      </c>
      <c r="K33" s="18">
        <f>IF(C33&lt;=Rates!$O$1,D33-(G33+H33+I33+J33),0)</f>
        <v>39817467419.993523</v>
      </c>
      <c r="L33" s="18">
        <f>IF(C33&lt;=Rates!$O$1,(K33+L32)*(1+(IF(B33&lt;=2,Rates!$O$5,IF(B33&lt;=4,Rates!$O$6,Rates!$O$7)))),0)</f>
        <v>370040352689.22491</v>
      </c>
      <c r="M33" s="18">
        <f>IF(C33&lt;=Rates!$O$1,(B33*D33)+(D33*'ورود اطلاعات'!$E$19/12),0)</f>
        <v>2436595948594.4507</v>
      </c>
      <c r="N33" s="18">
        <f>IF(C33&lt;=Rates!$O$1,K33*(1+IF(A33&lt;=2,Rates!$O$5,IF(A33&lt;=4,Rates!$O$6,Rates!$O$7))+(Rates!$O$8-IF(A33&lt;=2,Rates!$O$5,IF(A33&lt;=4,Rates!$O$6,Rates!$O$7)))*(VLOOKUP('ورود اطلاعات'!$E$20,Rates!$V$1:$Y$5,4,FALSE)))+N32*(1+IF(A33&lt;=2,Rates!$O$5,IF(A33&lt;=4,Rates!$O$6,Rates!$O$7))+(Rates!$O$8-IF(A33&lt;=2,Rates!$O$5,IF(A33&lt;=4,Rates!$O$6,Rates!$O$7)))),0)</f>
        <v>878992547904.90234</v>
      </c>
      <c r="O33" s="18">
        <f t="shared" si="1"/>
        <v>0</v>
      </c>
      <c r="P33" s="18">
        <f>IF(A33&lt;=7,VLOOKUP(A33,Rates!$K$1:$L$8,2,FALSE),1)*L33</f>
        <v>370040352689.22491</v>
      </c>
      <c r="Q33" s="18">
        <f>IF('ورود اطلاعات'!$E$16="بله",IF(C33&lt;=Rates!$O$4,D33*'ورود اطلاعات'!$H$16,0),0)</f>
        <v>4244392942712.9141</v>
      </c>
      <c r="R33" s="18">
        <f>IF('ورود اطلاعات'!$E$15="بله",IF(C33&lt;=Rates!$O$3,'ورود اطلاعات'!$H$15*D33,0),0)</f>
        <v>0</v>
      </c>
      <c r="S33" s="18">
        <f>IF(AND(C33&gt;=0,C33&lt;=Rates!$O$2,F33&gt;0),MIN(S32*(1+'ورود اطلاعات'!$E$8),IF('ورود اطلاعات'!$H$22="معمولی", 300000000,5000000000)),0)</f>
        <v>0</v>
      </c>
      <c r="T33" s="18">
        <f>IF(AND(C33&lt;=Rates!$O$11,'ورود اطلاعات'!$E$16="بله"),'ورود اطلاعات'!$N$23*('Offline Table'!Q33),0)</f>
        <v>0</v>
      </c>
      <c r="U33" s="18">
        <f>IFERROR(IF(C33&lt;=Rates!$O$1,0.8/1000,0)*Q33*(1+VLOOKUP('ورود اطلاعات'!$E$25,Rates!$Q$1:$T$9,4,FALSE)/100),"")</f>
        <v>3395514354.1703315</v>
      </c>
      <c r="V33" s="18">
        <f>IFERROR(IF(C33&lt;=Rates!$O$2,0.8/1000,0)*R33*(1+VLOOKUP('ورود اطلاعات'!$E$25,Rates!$Q$1:$T$9,4,FALSE)/100),"")</f>
        <v>0</v>
      </c>
      <c r="W33" s="18">
        <f>IF(AND(C33&lt;=Rates!$O$2,'ورود اطلاعات'!$H$22="معمولی"),VLOOKUP(C33,Rates!$A$1:$E$108,5,0),IF(AND(C33&lt;=Rates!$O$2,'ورود اطلاعات'!$H$22="پایه"),VLOOKUP(C33,Rates!$A$1:$F$108,6,0),IF(AND(C33&lt;=Rates!$O$2,'ورود اطلاعات'!$H$22="آسایش "),VLOOKUP(C33,Rates!$A$1:$G$108,7,0),IF(AND(C33&lt;=Rates!$O$2,'ورود اطلاعات'!$H$22="ممتاز"),VLOOKUP(C33,Rates!$A$1:$H$108,8,0),0))))*S33/1000000*(1+'ورود اطلاعات'!$E$22)</f>
        <v>0</v>
      </c>
      <c r="X33" s="18">
        <f>IFERROR(IF(C33&lt;=Rates!$O$11,0.8/1000*T33*(1+VLOOKUP('ورود اطلاعات'!$E$25,Rates!$Q$1:$T$9,4,FALSE)/100),0),"")</f>
        <v>0</v>
      </c>
      <c r="Y33" s="18">
        <f>(D33+U33+V33+W33+X33)*VLOOKUP('ورود اطلاعات'!$E$20,Rates!$V$1:$W$5,2,FALSE)</f>
        <v>0</v>
      </c>
      <c r="Z33" s="18">
        <f t="shared" si="0"/>
        <v>3395514354.1703315</v>
      </c>
      <c r="AA33" s="18">
        <f>IFERROR(IF(C33&lt;=Rates!$O$1,VLOOKUP('ورود اطلاعات'!$E$20,Rates!$V$1:$X$5,3,FALSE),0),"")</f>
        <v>1</v>
      </c>
      <c r="AB33" s="18">
        <f>IFERROR(IF(C33&lt;=Rates!$O$1,(D33+Z33)/AA33,0),"")</f>
        <v>81995383663.668747</v>
      </c>
    </row>
    <row r="34" spans="1:28" x14ac:dyDescent="0.25">
      <c r="A34" s="17">
        <f>IF(A33&lt;&gt;"",IF(A33+1&lt;=(Rates!$O$1-'ورود اطلاعات'!$E$6),A33+1,""),"")</f>
        <v>32</v>
      </c>
      <c r="B34" s="17">
        <f>IF(C34&lt;=Rates!$O$1,B33+1,"")</f>
        <v>32</v>
      </c>
      <c r="C34" s="17">
        <f>IF(C33&lt;Rates!$O$1,C33+1,"")</f>
        <v>71</v>
      </c>
      <c r="D34" s="18">
        <f>IF(C34&lt;=Rates!$O$1,D33*(1+'ورود اطلاعات'!$E$8),0)</f>
        <v>102179830102.34795</v>
      </c>
      <c r="E34" s="18">
        <f>IF(C34&lt;=Rates!$O$1,INT(D34+E33),0)</f>
        <v>442679263765</v>
      </c>
      <c r="F34" s="18">
        <f>IF(C34&lt;=Rates!$O$1,ROUND(F33*(1+'ورود اطلاعات'!$E$9),0),0)</f>
        <v>1839236941814</v>
      </c>
      <c r="G34" s="18">
        <f>IF(A34&lt;=5,IF(C34&lt;=Rates!$O$1,$D$3*5/100,0),0)</f>
        <v>0</v>
      </c>
      <c r="H34" s="18">
        <f>IF(A34&lt;=5,ROUND(F34*Rates!$O$9,0),0)</f>
        <v>0</v>
      </c>
      <c r="I34" s="18">
        <f>IF(C34&lt;=Rates!$O$1,D34*Rates!$O$10,0)</f>
        <v>3576294053.5821786</v>
      </c>
      <c r="J34" s="18">
        <f>IF(C34&lt;=Rates!$O$1,F34*(VLOOKUP(C34,Rates!$A$1:$D$108,4,FALSE))/(1.1^0.5),0)</f>
        <v>51764473232.659653</v>
      </c>
      <c r="K34" s="18">
        <f>IF(C34&lt;=Rates!$O$1,D34-(G34+H34+I34+J34),0)</f>
        <v>46839062816.106117</v>
      </c>
      <c r="L34" s="18">
        <f>IF(C34&lt;=Rates!$O$1,(K34+L33)*(1+(IF(B34&lt;=2,Rates!$O$5,IF(B34&lt;=4,Rates!$O$6,Rates!$O$7)))),0)</f>
        <v>458567357055.8642</v>
      </c>
      <c r="M34" s="18">
        <f>IF(C34&lt;=Rates!$O$1,(B34*D34)+(D34*'ورود اطلاعات'!$E$19/12),0)</f>
        <v>3269754563275.1343</v>
      </c>
      <c r="N34" s="18">
        <f>IF(C34&lt;=Rates!$O$1,K34*(1+IF(A34&lt;=2,Rates!$O$5,IF(A34&lt;=4,Rates!$O$6,Rates!$O$7))+(Rates!$O$8-IF(A34&lt;=2,Rates!$O$5,IF(A34&lt;=4,Rates!$O$6,Rates!$O$7)))*(VLOOKUP('ورود اطلاعات'!$E$20,Rates!$V$1:$Y$5,4,FALSE)))+N33*(1+IF(A34&lt;=2,Rates!$O$5,IF(A34&lt;=4,Rates!$O$6,Rates!$O$7))+(Rates!$O$8-IF(A34&lt;=2,Rates!$O$5,IF(A34&lt;=4,Rates!$O$6,Rates!$O$7)))),0)</f>
        <v>1117760581006.2305</v>
      </c>
      <c r="O34" s="18">
        <f t="shared" si="1"/>
        <v>0</v>
      </c>
      <c r="P34" s="18">
        <f>IF(A34&lt;=7,VLOOKUP(A34,Rates!$K$1:$L$8,2,FALSE),1)*L34</f>
        <v>458567357055.8642</v>
      </c>
      <c r="Q34" s="18">
        <f>IF('ورود اطلاعات'!$E$16="بله",IF(C34&lt;=Rates!$O$4,D34*'ورود اطلاعات'!$H$16,0),0)</f>
        <v>0</v>
      </c>
      <c r="R34" s="18">
        <f>IF('ورود اطلاعات'!$E$15="بله",IF(C34&lt;=Rates!$O$3,'ورود اطلاعات'!$H$15*D34,0),0)</f>
        <v>0</v>
      </c>
      <c r="S34" s="18">
        <f>IF(AND(C34&gt;=0,C34&lt;=Rates!$O$2,F34&gt;0),MIN(S33*(1+'ورود اطلاعات'!$E$8),IF('ورود اطلاعات'!$H$22="معمولی", 300000000,5000000000)),0)</f>
        <v>0</v>
      </c>
      <c r="T34" s="18">
        <f>IF(AND(C34&lt;=Rates!$O$11,'ورود اطلاعات'!$E$16="بله"),'ورود اطلاعات'!$N$23*('Offline Table'!Q34),0)</f>
        <v>0</v>
      </c>
      <c r="U34" s="18">
        <f>IFERROR(IF(C34&lt;=Rates!$O$1,0.8/1000,0)*Q34*(1+VLOOKUP('ورود اطلاعات'!$E$25,Rates!$Q$1:$T$9,4,FALSE)/100),"")</f>
        <v>0</v>
      </c>
      <c r="V34" s="18">
        <f>IFERROR(IF(C34&lt;=Rates!$O$2,0.8/1000,0)*R34*(1+VLOOKUP('ورود اطلاعات'!$E$25,Rates!$Q$1:$T$9,4,FALSE)/100),"")</f>
        <v>0</v>
      </c>
      <c r="W34" s="18">
        <f>IF(AND(C34&lt;=Rates!$O$2,'ورود اطلاعات'!$H$22="معمولی"),VLOOKUP(C34,Rates!$A$1:$E$108,5,0),IF(AND(C34&lt;=Rates!$O$2,'ورود اطلاعات'!$H$22="پایه"),VLOOKUP(C34,Rates!$A$1:$F$108,6,0),IF(AND(C34&lt;=Rates!$O$2,'ورود اطلاعات'!$H$22="آسایش "),VLOOKUP(C34,Rates!$A$1:$G$108,7,0),IF(AND(C34&lt;=Rates!$O$2,'ورود اطلاعات'!$H$22="ممتاز"),VLOOKUP(C34,Rates!$A$1:$H$108,8,0),0))))*S34/1000000*(1+'ورود اطلاعات'!$E$22)</f>
        <v>0</v>
      </c>
      <c r="X34" s="18">
        <f>IFERROR(IF(C34&lt;=Rates!$O$11,0.8/1000*T34*(1+VLOOKUP('ورود اطلاعات'!$E$25,Rates!$Q$1:$T$9,4,FALSE)/100),0),"")</f>
        <v>0</v>
      </c>
      <c r="Y34" s="18">
        <f>(D34+U34+V34+W34+X34)*VLOOKUP('ورود اطلاعات'!$E$20,Rates!$V$1:$W$5,2,FALSE)</f>
        <v>0</v>
      </c>
      <c r="Z34" s="18">
        <f t="shared" si="0"/>
        <v>0</v>
      </c>
      <c r="AA34" s="18">
        <f>IFERROR(IF(C34&lt;=Rates!$O$1,VLOOKUP('ورود اطلاعات'!$E$20,Rates!$V$1:$X$5,3,FALSE),0),"")</f>
        <v>1</v>
      </c>
      <c r="AB34" s="18">
        <f>IFERROR(IF(C34&lt;=Rates!$O$1,(D34+Z34)/AA34,0),"")</f>
        <v>102179830102.34795</v>
      </c>
    </row>
    <row r="35" spans="1:28" x14ac:dyDescent="0.25">
      <c r="A35" s="17">
        <f>IF(A34&lt;&gt;"",IF(A34+1&lt;=(Rates!$O$1-'ورود اطلاعات'!$E$6),A34+1,""),"")</f>
        <v>33</v>
      </c>
      <c r="B35" s="17">
        <f>IF(C35&lt;=Rates!$O$1,B34+1,"")</f>
        <v>33</v>
      </c>
      <c r="C35" s="17">
        <f>IF(C34&lt;Rates!$O$1,C34+1,"")</f>
        <v>72</v>
      </c>
      <c r="D35" s="18">
        <f>IF(C35&lt;=Rates!$O$1,D34*(1+'ورود اطلاعات'!$E$8),0)</f>
        <v>132833779133.05234</v>
      </c>
      <c r="E35" s="18">
        <f>IF(C35&lt;=Rates!$O$1,INT(D35+E34),0)</f>
        <v>575513042898</v>
      </c>
      <c r="F35" s="18">
        <f>IF(C35&lt;=Rates!$O$1,ROUND(F34*(1+'ورود اطلاعات'!$E$9),0),0)</f>
        <v>2391008024358</v>
      </c>
      <c r="G35" s="18">
        <f>IF(A35&lt;=5,IF(C35&lt;=Rates!$O$1,$D$3*5/100,0),0)</f>
        <v>0</v>
      </c>
      <c r="H35" s="18">
        <f>IF(A35&lt;=5,ROUND(F35*Rates!$O$9,0),0)</f>
        <v>0</v>
      </c>
      <c r="I35" s="18">
        <f>IF(C35&lt;=Rates!$O$1,D35*Rates!$O$10,0)</f>
        <v>4649182269.6568327</v>
      </c>
      <c r="J35" s="18">
        <f>IF(C35&lt;=Rates!$O$1,F35*(VLOOKUP(C35,Rates!$A$1:$D$108,4,FALSE))/(1.1^0.5),0)</f>
        <v>74344928597.090881</v>
      </c>
      <c r="K35" s="18">
        <f>IF(C35&lt;=Rates!$O$1,D35-(G35+H35+I35+J35),0)</f>
        <v>53839668266.304626</v>
      </c>
      <c r="L35" s="18">
        <f>IF(C35&lt;=Rates!$O$1,(K35+L34)*(1+(IF(B35&lt;=2,Rates!$O$5,IF(B35&lt;=4,Rates!$O$6,Rates!$O$7)))),0)</f>
        <v>563647727854.38574</v>
      </c>
      <c r="M35" s="18">
        <f>IF(C35&lt;=Rates!$O$1,(B35*D35)+(D35*'ورود اطلاعات'!$E$19/12),0)</f>
        <v>4383514711390.7271</v>
      </c>
      <c r="N35" s="18">
        <f>IF(C35&lt;=Rates!$O$1,K35*(1+IF(A35&lt;=2,Rates!$O$5,IF(A35&lt;=4,Rates!$O$6,Rates!$O$7))+(Rates!$O$8-IF(A35&lt;=2,Rates!$O$5,IF(A35&lt;=4,Rates!$O$6,Rates!$O$7)))*(VLOOKUP('ورود اطلاعات'!$E$20,Rates!$V$1:$Y$5,4,FALSE)))+N34*(1+IF(A35&lt;=2,Rates!$O$5,IF(A35&lt;=4,Rates!$O$6,Rates!$O$7))+(Rates!$O$8-IF(A35&lt;=2,Rates!$O$5,IF(A35&lt;=4,Rates!$O$6,Rates!$O$7)))),0)</f>
        <v>1414478140699.9729</v>
      </c>
      <c r="O35" s="18">
        <f t="shared" si="1"/>
        <v>0</v>
      </c>
      <c r="P35" s="18">
        <f>IF(A35&lt;=7,VLOOKUP(A35,Rates!$K$1:$L$8,2,FALSE),1)*L35</f>
        <v>563647727854.38574</v>
      </c>
      <c r="Q35" s="18">
        <f>IF('ورود اطلاعات'!$E$16="بله",IF(C35&lt;=Rates!$O$4,D35*'ورود اطلاعات'!$H$16,0),0)</f>
        <v>0</v>
      </c>
      <c r="R35" s="18">
        <f>IF('ورود اطلاعات'!$E$15="بله",IF(C35&lt;=Rates!$O$3,'ورود اطلاعات'!$H$15*D35,0),0)</f>
        <v>0</v>
      </c>
      <c r="S35" s="18">
        <f>IF(AND(C35&gt;=0,C35&lt;=Rates!$O$2,F35&gt;0),MIN(S34*(1+'ورود اطلاعات'!$E$8),IF('ورود اطلاعات'!$H$22="معمولی", 300000000,5000000000)),0)</f>
        <v>0</v>
      </c>
      <c r="T35" s="18">
        <f>IF(AND(C35&lt;=Rates!$O$11,'ورود اطلاعات'!$E$16="بله"),'ورود اطلاعات'!$N$23*('Offline Table'!Q35),0)</f>
        <v>0</v>
      </c>
      <c r="U35" s="18">
        <f>IFERROR(IF(C35&lt;=Rates!$O$1,0.8/1000,0)*Q35*(1+VLOOKUP('ورود اطلاعات'!$E$25,Rates!$Q$1:$T$9,4,FALSE)/100),"")</f>
        <v>0</v>
      </c>
      <c r="V35" s="18">
        <f>IFERROR(IF(C35&lt;=Rates!$O$2,0.8/1000,0)*R35*(1+VLOOKUP('ورود اطلاعات'!$E$25,Rates!$Q$1:$T$9,4,FALSE)/100),"")</f>
        <v>0</v>
      </c>
      <c r="W35" s="18">
        <f>IF(AND(C35&lt;=Rates!$O$2,'ورود اطلاعات'!$H$22="معمولی"),VLOOKUP(C35,Rates!$A$1:$E$108,5,0),IF(AND(C35&lt;=Rates!$O$2,'ورود اطلاعات'!$H$22="پایه"),VLOOKUP(C35,Rates!$A$1:$F$108,6,0),IF(AND(C35&lt;=Rates!$O$2,'ورود اطلاعات'!$H$22="آسایش "),VLOOKUP(C35,Rates!$A$1:$G$108,7,0),IF(AND(C35&lt;=Rates!$O$2,'ورود اطلاعات'!$H$22="ممتاز"),VLOOKUP(C35,Rates!$A$1:$H$108,8,0),0))))*S35/1000000*(1+'ورود اطلاعات'!$E$22)</f>
        <v>0</v>
      </c>
      <c r="X35" s="18">
        <f>IFERROR(IF(C35&lt;=Rates!$O$11,0.8/1000*T35*(1+VLOOKUP('ورود اطلاعات'!$E$25,Rates!$Q$1:$T$9,4,FALSE)/100),0),"")</f>
        <v>0</v>
      </c>
      <c r="Y35" s="18">
        <f>(D35+U35+V35+W35+X35)*VLOOKUP('ورود اطلاعات'!$E$20,Rates!$V$1:$W$5,2,FALSE)</f>
        <v>0</v>
      </c>
      <c r="Z35" s="18">
        <f t="shared" si="0"/>
        <v>0</v>
      </c>
      <c r="AA35" s="18">
        <f>IFERROR(IF(C35&lt;=Rates!$O$1,VLOOKUP('ورود اطلاعات'!$E$20,Rates!$V$1:$X$5,3,FALSE),0),"")</f>
        <v>1</v>
      </c>
      <c r="AB35" s="18">
        <f>IFERROR(IF(C35&lt;=Rates!$O$1,(D35+Z35)/AA35,0),"")</f>
        <v>132833779133.05234</v>
      </c>
    </row>
    <row r="36" spans="1:28" x14ac:dyDescent="0.25">
      <c r="A36" s="17">
        <f>IF(A35&lt;&gt;"",IF(A35+1&lt;=(Rates!$O$1-'ورود اطلاعات'!$E$6),A35+1,""),"")</f>
        <v>34</v>
      </c>
      <c r="B36" s="17">
        <f>IF(C36&lt;=Rates!$O$1,B35+1,"")</f>
        <v>34</v>
      </c>
      <c r="C36" s="17">
        <f>IF(C35&lt;Rates!$O$1,C35+1,"")</f>
        <v>73</v>
      </c>
      <c r="D36" s="18">
        <f>IF(C36&lt;=Rates!$O$1,D35*(1+'ورود اطلاعات'!$E$8),0)</f>
        <v>172683912872.96805</v>
      </c>
      <c r="E36" s="18">
        <f>IF(C36&lt;=Rates!$O$1,INT(D36+E35),0)</f>
        <v>748196955770</v>
      </c>
      <c r="F36" s="18">
        <f>IF(C36&lt;=Rates!$O$1,ROUND(F35*(1+'ورود اطلاعات'!$E$9),0),0)</f>
        <v>3108310431665</v>
      </c>
      <c r="G36" s="18">
        <f>IF(A36&lt;=5,IF(C36&lt;=Rates!$O$1,$D$3*5/100,0),0)</f>
        <v>0</v>
      </c>
      <c r="H36" s="18">
        <f>IF(A36&lt;=5,ROUND(F36*Rates!$O$9,0),0)</f>
        <v>0</v>
      </c>
      <c r="I36" s="18">
        <f>IF(C36&lt;=Rates!$O$1,D36*Rates!$O$10,0)</f>
        <v>6043936950.5538826</v>
      </c>
      <c r="J36" s="18">
        <f>IF(C36&lt;=Rates!$O$1,F36*(VLOOKUP(C36,Rates!$A$1:$D$108,4,FALSE))/(1.1^0.5),0)</f>
        <v>106763234065.11981</v>
      </c>
      <c r="K36" s="18">
        <f>IF(C36&lt;=Rates!$O$1,D36-(G36+H36+I36+J36),0)</f>
        <v>59876741857.294357</v>
      </c>
      <c r="L36" s="18">
        <f>IF(C36&lt;=Rates!$O$1,(K36+L35)*(1+(IF(B36&lt;=2,Rates!$O$5,IF(B36&lt;=4,Rates!$O$6,Rates!$O$7)))),0)</f>
        <v>685876916682.84814</v>
      </c>
      <c r="M36" s="18">
        <f>IF(C36&lt;=Rates!$O$1,(B36*D36)+(D36*'ورود اطلاعات'!$E$19/12),0)</f>
        <v>5871253037680.9141</v>
      </c>
      <c r="N36" s="18">
        <f>IF(C36&lt;=Rates!$O$1,K36*(1+IF(A36&lt;=2,Rates!$O$5,IF(A36&lt;=4,Rates!$O$6,Rates!$O$7))+(Rates!$O$8-IF(A36&lt;=2,Rates!$O$5,IF(A36&lt;=4,Rates!$O$6,Rates!$O$7)))*(VLOOKUP('ورود اطلاعات'!$E$20,Rates!$V$1:$Y$5,4,FALSE)))+N35*(1+IF(A36&lt;=2,Rates!$O$5,IF(A36&lt;=4,Rates!$O$6,Rates!$O$7))+(Rates!$O$8-IF(A36&lt;=2,Rates!$O$5,IF(A36&lt;=4,Rates!$O$6,Rates!$O$7)))),0)</f>
        <v>1779995142802.6875</v>
      </c>
      <c r="O36" s="18">
        <f t="shared" si="1"/>
        <v>0</v>
      </c>
      <c r="P36" s="18">
        <f>IF(A36&lt;=7,VLOOKUP(A36,Rates!$K$1:$L$8,2,FALSE),1)*L36</f>
        <v>685876916682.84814</v>
      </c>
      <c r="Q36" s="18">
        <f>IF('ورود اطلاعات'!$E$16="بله",IF(C36&lt;=Rates!$O$4,D36*'ورود اطلاعات'!$H$16,0),0)</f>
        <v>0</v>
      </c>
      <c r="R36" s="18">
        <f>IF('ورود اطلاعات'!$E$15="بله",IF(C36&lt;=Rates!$O$3,'ورود اطلاعات'!$H$15*D36,0),0)</f>
        <v>0</v>
      </c>
      <c r="S36" s="18">
        <f>IF(AND(C36&gt;=0,C36&lt;=Rates!$O$2,F36&gt;0),MIN(S35*(1+'ورود اطلاعات'!$E$8),IF('ورود اطلاعات'!$H$22="معمولی", 300000000,5000000000)),0)</f>
        <v>0</v>
      </c>
      <c r="T36" s="18">
        <f>IF(AND(C36&lt;=Rates!$O$11,'ورود اطلاعات'!$E$16="بله"),'ورود اطلاعات'!$N$23*('Offline Table'!Q36),0)</f>
        <v>0</v>
      </c>
      <c r="U36" s="18">
        <f>IFERROR(IF(C36&lt;=Rates!$O$1,0.8/1000,0)*Q36*(1+VLOOKUP('ورود اطلاعات'!$E$25,Rates!$Q$1:$T$9,4,FALSE)/100),"")</f>
        <v>0</v>
      </c>
      <c r="V36" s="18">
        <f>IFERROR(IF(C36&lt;=Rates!$O$2,0.8/1000,0)*R36*(1+VLOOKUP('ورود اطلاعات'!$E$25,Rates!$Q$1:$T$9,4,FALSE)/100),"")</f>
        <v>0</v>
      </c>
      <c r="W36" s="18">
        <f>IF(AND(C36&lt;=Rates!$O$2,'ورود اطلاعات'!$H$22="معمولی"),VLOOKUP(C36,Rates!$A$1:$E$108,5,0),IF(AND(C36&lt;=Rates!$O$2,'ورود اطلاعات'!$H$22="پایه"),VLOOKUP(C36,Rates!$A$1:$F$108,6,0),IF(AND(C36&lt;=Rates!$O$2,'ورود اطلاعات'!$H$22="آسایش "),VLOOKUP(C36,Rates!$A$1:$G$108,7,0),IF(AND(C36&lt;=Rates!$O$2,'ورود اطلاعات'!$H$22="ممتاز"),VLOOKUP(C36,Rates!$A$1:$H$108,8,0),0))))*S36/1000000*(1+'ورود اطلاعات'!$E$22)</f>
        <v>0</v>
      </c>
      <c r="X36" s="18">
        <f>IFERROR(IF(C36&lt;=Rates!$O$11,0.8/1000*T36*(1+VLOOKUP('ورود اطلاعات'!$E$25,Rates!$Q$1:$T$9,4,FALSE)/100),0),"")</f>
        <v>0</v>
      </c>
      <c r="Y36" s="18">
        <f>(D36+U36+V36+W36+X36)*VLOOKUP('ورود اطلاعات'!$E$20,Rates!$V$1:$W$5,2,FALSE)</f>
        <v>0</v>
      </c>
      <c r="Z36" s="18">
        <f t="shared" si="0"/>
        <v>0</v>
      </c>
      <c r="AA36" s="18">
        <f>IFERROR(IF(C36&lt;=Rates!$O$1,VLOOKUP('ورود اطلاعات'!$E$20,Rates!$V$1:$X$5,3,FALSE),0),"")</f>
        <v>1</v>
      </c>
      <c r="AB36" s="18">
        <f>IFERROR(IF(C36&lt;=Rates!$O$1,(D36+Z36)/AA36,0),"")</f>
        <v>172683912872.96805</v>
      </c>
    </row>
    <row r="37" spans="1:28" x14ac:dyDescent="0.25">
      <c r="A37" s="17">
        <f>IF(A36&lt;&gt;"",IF(A36+1&lt;=(Rates!$O$1-'ورود اطلاعات'!$E$6),A36+1,""),"")</f>
        <v>35</v>
      </c>
      <c r="B37" s="17">
        <f>IF(C37&lt;=Rates!$O$1,B36+1,"")</f>
        <v>35</v>
      </c>
      <c r="C37" s="17">
        <f>IF(C36&lt;Rates!$O$1,C36+1,"")</f>
        <v>74</v>
      </c>
      <c r="D37" s="18">
        <f>IF(C37&lt;=Rates!$O$1,D36*(1+'ورود اطلاعات'!$E$8),0)</f>
        <v>224489086734.85846</v>
      </c>
      <c r="E37" s="18">
        <f>IF(C37&lt;=Rates!$O$1,INT(D37+E36),0)</f>
        <v>972686042504</v>
      </c>
      <c r="F37" s="18">
        <f>IF(C37&lt;=Rates!$O$1,ROUND(F36*(1+'ورود اطلاعات'!$E$9),0),0)</f>
        <v>4040803561165</v>
      </c>
      <c r="G37" s="18">
        <f>IF(A37&lt;=5,IF(C37&lt;=Rates!$O$1,$D$3*5/100,0),0)</f>
        <v>0</v>
      </c>
      <c r="H37" s="18">
        <f>IF(A37&lt;=5,ROUND(F37*Rates!$O$9,0),0)</f>
        <v>0</v>
      </c>
      <c r="I37" s="18">
        <f>IF(C37&lt;=Rates!$O$1,D37*Rates!$O$10,0)</f>
        <v>7857118035.720047</v>
      </c>
      <c r="J37" s="18">
        <f>IF(C37&lt;=Rates!$O$1,F37*(VLOOKUP(C37,Rates!$A$1:$D$108,4,FALSE))/(1.1^0.5),0)</f>
        <v>153285093347.39893</v>
      </c>
      <c r="K37" s="18">
        <f>IF(C37&lt;=Rates!$O$1,D37-(G37+H37+I37+J37),0)</f>
        <v>63346875351.739502</v>
      </c>
      <c r="L37" s="18">
        <f>IF(C37&lt;=Rates!$O$1,(K37+L36)*(1+(IF(B37&lt;=2,Rates!$O$5,IF(B37&lt;=4,Rates!$O$6,Rates!$O$7)))),0)</f>
        <v>824146171238.04651</v>
      </c>
      <c r="M37" s="18">
        <f>IF(C37&lt;=Rates!$O$1,(B37*D37)+(D37*'ورود اطلاعات'!$E$19/12),0)</f>
        <v>7857118035720.0459</v>
      </c>
      <c r="N37" s="18">
        <f>IF(C37&lt;=Rates!$O$1,K37*(1+IF(A37&lt;=2,Rates!$O$5,IF(A37&lt;=4,Rates!$O$6,Rates!$O$7))+(Rates!$O$8-IF(A37&lt;=2,Rates!$O$5,IF(A37&lt;=4,Rates!$O$6,Rates!$O$7)))*(VLOOKUP('ورود اطلاعات'!$E$20,Rates!$V$1:$Y$5,4,FALSE)))+N36*(1+IF(A37&lt;=2,Rates!$O$5,IF(A37&lt;=4,Rates!$O$6,Rates!$O$7))+(Rates!$O$8-IF(A37&lt;=2,Rates!$O$5,IF(A37&lt;=4,Rates!$O$6,Rates!$O$7)))),0)</f>
        <v>2225474936636.5913</v>
      </c>
      <c r="O37" s="18">
        <f t="shared" si="1"/>
        <v>0</v>
      </c>
      <c r="P37" s="18">
        <f>IF(A37&lt;=7,VLOOKUP(A37,Rates!$K$1:$L$8,2,FALSE),1)*L37</f>
        <v>824146171238.04651</v>
      </c>
      <c r="Q37" s="18">
        <f>IF('ورود اطلاعات'!$E$16="بله",IF(C37&lt;=Rates!$O$4,D37*'ورود اطلاعات'!$H$16,0),0)</f>
        <v>0</v>
      </c>
      <c r="R37" s="18">
        <f>IF('ورود اطلاعات'!$E$15="بله",IF(C37&lt;=Rates!$O$3,'ورود اطلاعات'!$H$15*D37,0),0)</f>
        <v>0</v>
      </c>
      <c r="S37" s="18">
        <f>IF(AND(C37&gt;=0,C37&lt;=Rates!$O$2,F37&gt;0),MIN(S36*(1+'ورود اطلاعات'!$E$8),IF('ورود اطلاعات'!$H$22="معمولی", 300000000,5000000000)),0)</f>
        <v>0</v>
      </c>
      <c r="T37" s="18">
        <f>IF(AND(C37&lt;=Rates!$O$11,'ورود اطلاعات'!$E$16="بله"),'ورود اطلاعات'!$N$23*('Offline Table'!Q37),0)</f>
        <v>0</v>
      </c>
      <c r="U37" s="18">
        <f>IFERROR(IF(C37&lt;=Rates!$O$1,0.8/1000,0)*Q37*(1+VLOOKUP('ورود اطلاعات'!$E$25,Rates!$Q$1:$T$9,4,FALSE)/100),"")</f>
        <v>0</v>
      </c>
      <c r="V37" s="18">
        <f>IFERROR(IF(C37&lt;=Rates!$O$2,0.8/1000,0)*R37*(1+VLOOKUP('ورود اطلاعات'!$E$25,Rates!$Q$1:$T$9,4,FALSE)/100),"")</f>
        <v>0</v>
      </c>
      <c r="W37" s="18">
        <f>IF(AND(C37&lt;=Rates!$O$2,'ورود اطلاعات'!$H$22="معمولی"),VLOOKUP(C37,Rates!$A$1:$E$108,5,0),IF(AND(C37&lt;=Rates!$O$2,'ورود اطلاعات'!$H$22="پایه"),VLOOKUP(C37,Rates!$A$1:$F$108,6,0),IF(AND(C37&lt;=Rates!$O$2,'ورود اطلاعات'!$H$22="آسایش "),VLOOKUP(C37,Rates!$A$1:$G$108,7,0),IF(AND(C37&lt;=Rates!$O$2,'ورود اطلاعات'!$H$22="ممتاز"),VLOOKUP(C37,Rates!$A$1:$H$108,8,0),0))))*S37/1000000*(1+'ورود اطلاعات'!$E$22)</f>
        <v>0</v>
      </c>
      <c r="X37" s="18">
        <f>IFERROR(IF(C37&lt;=Rates!$O$11,0.8/1000*T37*(1+VLOOKUP('ورود اطلاعات'!$E$25,Rates!$Q$1:$T$9,4,FALSE)/100),0),"")</f>
        <v>0</v>
      </c>
      <c r="Y37" s="18">
        <f>(D37+U37+V37+W37+X37)*VLOOKUP('ورود اطلاعات'!$E$20,Rates!$V$1:$W$5,2,FALSE)</f>
        <v>0</v>
      </c>
      <c r="Z37" s="18">
        <f t="shared" si="0"/>
        <v>0</v>
      </c>
      <c r="AA37" s="18">
        <f>IFERROR(IF(C37&lt;=Rates!$O$1,VLOOKUP('ورود اطلاعات'!$E$20,Rates!$V$1:$X$5,3,FALSE),0),"")</f>
        <v>1</v>
      </c>
      <c r="AB37" s="18">
        <f>IFERROR(IF(C37&lt;=Rates!$O$1,(D37+Z37)/AA37,0),"")</f>
        <v>224489086734.85846</v>
      </c>
    </row>
    <row r="38" spans="1:28" x14ac:dyDescent="0.25">
      <c r="A38" s="17">
        <f>IF(A37&lt;&gt;"",IF(A37+1&lt;=(Rates!$O$1-'ورود اطلاعات'!$E$6),A37+1,""),"")</f>
        <v>36</v>
      </c>
      <c r="B38" s="17">
        <f>IF(C38&lt;=Rates!$O$1,B37+1,"")</f>
        <v>36</v>
      </c>
      <c r="C38" s="17">
        <f>IF(C37&lt;Rates!$O$1,C37+1,"")</f>
        <v>75</v>
      </c>
      <c r="D38" s="18">
        <f>IF(C38&lt;=Rates!$O$1,D37*(1+'ورود اطلاعات'!$E$8),0)</f>
        <v>291835812755.31598</v>
      </c>
      <c r="E38" s="18">
        <f>IF(C38&lt;=Rates!$O$1,INT(D38+E37),0)</f>
        <v>1264521855259</v>
      </c>
      <c r="F38" s="18">
        <f>IF(C38&lt;=Rates!$O$1,ROUND(F37*(1+'ورود اطلاعات'!$E$9),0),0)</f>
        <v>5253044629515</v>
      </c>
      <c r="G38" s="18">
        <f>IF(A38&lt;=5,IF(C38&lt;=Rates!$O$1,$D$3*5/100,0),0)</f>
        <v>0</v>
      </c>
      <c r="H38" s="18">
        <f>IF(A38&lt;=5,ROUND(F38*Rates!$O$9,0),0)</f>
        <v>0</v>
      </c>
      <c r="I38" s="18">
        <f>IF(C38&lt;=Rates!$O$1,D38*Rates!$O$10,0)</f>
        <v>10214253446.43606</v>
      </c>
      <c r="J38" s="18">
        <f>IF(C38&lt;=Rates!$O$1,F38*(VLOOKUP(C38,Rates!$A$1:$D$108,4,FALSE))/(1.1^0.5),0)</f>
        <v>219966063967.909</v>
      </c>
      <c r="K38" s="18">
        <f>IF(C38&lt;=Rates!$O$1,D38-(G38+H38+I38+J38),0)</f>
        <v>61655495340.970917</v>
      </c>
      <c r="L38" s="18">
        <f>IF(C38&lt;=Rates!$O$1,(K38+L37)*(1+(IF(B38&lt;=2,Rates!$O$5,IF(B38&lt;=4,Rates!$O$6,Rates!$O$7)))),0)</f>
        <v>974381833236.91931</v>
      </c>
      <c r="M38" s="18">
        <f>IF(C38&lt;=Rates!$O$1,(B38*D38)+(D38*'ورود اطلاعات'!$E$19/12),0)</f>
        <v>10506089259191.375</v>
      </c>
      <c r="N38" s="18">
        <f>IF(C38&lt;=Rates!$O$1,K38*(1+IF(A38&lt;=2,Rates!$O$5,IF(A38&lt;=4,Rates!$O$6,Rates!$O$7))+(Rates!$O$8-IF(A38&lt;=2,Rates!$O$5,IF(A38&lt;=4,Rates!$O$6,Rates!$O$7)))*(VLOOKUP('ورود اطلاعات'!$E$20,Rates!$V$1:$Y$5,4,FALSE)))+N37*(1+IF(A38&lt;=2,Rates!$O$5,IF(A38&lt;=4,Rates!$O$6,Rates!$O$7))+(Rates!$O$8-IF(A38&lt;=2,Rates!$O$5,IF(A38&lt;=4,Rates!$O$6,Rates!$O$7)))),0)</f>
        <v>2761262643099.1885</v>
      </c>
      <c r="O38" s="18">
        <f t="shared" si="1"/>
        <v>0</v>
      </c>
      <c r="P38" s="18">
        <f>IF(A38&lt;=7,VLOOKUP(A38,Rates!$K$1:$L$8,2,FALSE),1)*L38</f>
        <v>974381833236.91931</v>
      </c>
      <c r="Q38" s="18">
        <f>IF('ورود اطلاعات'!$E$16="بله",IF(C38&lt;=Rates!$O$4,D38*'ورود اطلاعات'!$H$16,0),0)</f>
        <v>0</v>
      </c>
      <c r="R38" s="18">
        <f>IF('ورود اطلاعات'!$E$15="بله",IF(C38&lt;=Rates!$O$3,'ورود اطلاعات'!$H$15*D38,0),0)</f>
        <v>0</v>
      </c>
      <c r="S38" s="18">
        <f>IF(AND(C38&gt;=0,C38&lt;=Rates!$O$2,F38&gt;0),MIN(S37*(1+'ورود اطلاعات'!$E$8),IF('ورود اطلاعات'!$H$22="معمولی", 300000000,5000000000)),0)</f>
        <v>0</v>
      </c>
      <c r="T38" s="18">
        <f>IF(AND(C38&lt;=Rates!$O$11,'ورود اطلاعات'!$E$16="بله"),'ورود اطلاعات'!$N$23*('Offline Table'!Q38),0)</f>
        <v>0</v>
      </c>
      <c r="U38" s="18">
        <f>IFERROR(IF(C38&lt;=Rates!$O$1,0.8/1000,0)*Q38*(1+VLOOKUP('ورود اطلاعات'!$E$25,Rates!$Q$1:$T$9,4,FALSE)/100),"")</f>
        <v>0</v>
      </c>
      <c r="V38" s="18">
        <f>IFERROR(IF(C38&lt;=Rates!$O$2,0.8/1000,0)*R38*(1+VLOOKUP('ورود اطلاعات'!$E$25,Rates!$Q$1:$T$9,4,FALSE)/100),"")</f>
        <v>0</v>
      </c>
      <c r="W38" s="18">
        <f>IF(AND(C38&lt;=Rates!$O$2,'ورود اطلاعات'!$H$22="معمولی"),VLOOKUP(C38,Rates!$A$1:$E$108,5,0),IF(AND(C38&lt;=Rates!$O$2,'ورود اطلاعات'!$H$22="پایه"),VLOOKUP(C38,Rates!$A$1:$F$108,6,0),IF(AND(C38&lt;=Rates!$O$2,'ورود اطلاعات'!$H$22="آسایش "),VLOOKUP(C38,Rates!$A$1:$G$108,7,0),IF(AND(C38&lt;=Rates!$O$2,'ورود اطلاعات'!$H$22="ممتاز"),VLOOKUP(C38,Rates!$A$1:$H$108,8,0),0))))*S38/1000000*(1+'ورود اطلاعات'!$E$22)</f>
        <v>0</v>
      </c>
      <c r="X38" s="18">
        <f>IFERROR(IF(C38&lt;=Rates!$O$11,0.8/1000*T38*(1+VLOOKUP('ورود اطلاعات'!$E$25,Rates!$Q$1:$T$9,4,FALSE)/100),0),"")</f>
        <v>0</v>
      </c>
      <c r="Y38" s="18">
        <f>(D38+U38+V38+W38+X38)*VLOOKUP('ورود اطلاعات'!$E$20,Rates!$V$1:$W$5,2,FALSE)</f>
        <v>0</v>
      </c>
      <c r="Z38" s="18">
        <f t="shared" si="0"/>
        <v>0</v>
      </c>
      <c r="AA38" s="18">
        <f>IFERROR(IF(C38&lt;=Rates!$O$1,VLOOKUP('ورود اطلاعات'!$E$20,Rates!$V$1:$X$5,3,FALSE),0),"")</f>
        <v>1</v>
      </c>
      <c r="AB38" s="18">
        <f>IFERROR(IF(C38&lt;=Rates!$O$1,(D38+Z38)/AA38,0),"")</f>
        <v>291835812755.31598</v>
      </c>
    </row>
    <row r="39" spans="1:28" x14ac:dyDescent="0.25">
      <c r="A39" s="17">
        <f>IF(A38&lt;&gt;"",IF(A38+1&lt;=(Rates!$O$1-'ورود اطلاعات'!$E$6),A38+1,""),"")</f>
        <v>37</v>
      </c>
      <c r="B39" s="17">
        <f>IF(C39&lt;=Rates!$O$1,B38+1,"")</f>
        <v>37</v>
      </c>
      <c r="C39" s="17">
        <f>IF(C38&lt;Rates!$O$1,C38+1,"")</f>
        <v>76</v>
      </c>
      <c r="D39" s="18">
        <f>IF(C39&lt;=Rates!$O$1,D38*(1+'ورود اطلاعات'!$E$8),0)</f>
        <v>379386556581.91077</v>
      </c>
      <c r="E39" s="18">
        <f>IF(C39&lt;=Rates!$O$1,INT(D39+E38),0)</f>
        <v>1643908411840</v>
      </c>
      <c r="F39" s="18">
        <f>IF(C39&lt;=Rates!$O$1,ROUND(F38*(1+'ورود اطلاعات'!$E$9),0),0)</f>
        <v>6828958018370</v>
      </c>
      <c r="G39" s="18">
        <f>IF(A39&lt;=5,IF(C39&lt;=Rates!$O$1,$D$3*5/100,0),0)</f>
        <v>0</v>
      </c>
      <c r="H39" s="18">
        <f>IF(A39&lt;=5,ROUND(F39*Rates!$O$9,0),0)</f>
        <v>0</v>
      </c>
      <c r="I39" s="18">
        <f>IF(C39&lt;=Rates!$O$1,D39*Rates!$O$10,0)</f>
        <v>13278529480.366879</v>
      </c>
      <c r="J39" s="18">
        <f>IF(C39&lt;=Rates!$O$1,F39*(VLOOKUP(C39,Rates!$A$1:$D$108,4,FALSE))/(1.1^0.5),0)</f>
        <v>315568083906.36523</v>
      </c>
      <c r="K39" s="18">
        <f>IF(C39&lt;=Rates!$O$1,D39-(G39+H39+I39+J39),0)</f>
        <v>50539943195.17865</v>
      </c>
      <c r="L39" s="18">
        <f>IF(C39&lt;=Rates!$O$1,(K39+L38)*(1+(IF(B39&lt;=2,Rates!$O$5,IF(B39&lt;=4,Rates!$O$6,Rates!$O$7)))),0)</f>
        <v>1127413954075.3079</v>
      </c>
      <c r="M39" s="18">
        <f>IF(C39&lt;=Rates!$O$1,(B39*D39)+(D39*'ورود اطلاعات'!$E$19/12),0)</f>
        <v>14037302593530.699</v>
      </c>
      <c r="N39" s="18">
        <f>IF(C39&lt;=Rates!$O$1,K39*(1+IF(A39&lt;=2,Rates!$O$5,IF(A39&lt;=4,Rates!$O$6,Rates!$O$7))+(Rates!$O$8-IF(A39&lt;=2,Rates!$O$5,IF(A39&lt;=4,Rates!$O$6,Rates!$O$7)))*(VLOOKUP('ورود اطلاعات'!$E$20,Rates!$V$1:$Y$5,4,FALSE)))+N38*(1+IF(A39&lt;=2,Rates!$O$5,IF(A39&lt;=4,Rates!$O$6,Rates!$O$7))+(Rates!$O$8-IF(A39&lt;=2,Rates!$O$5,IF(A39&lt;=4,Rates!$O$6,Rates!$O$7)))),0)</f>
        <v>3394701645673.563</v>
      </c>
      <c r="O39" s="18">
        <f t="shared" si="1"/>
        <v>0</v>
      </c>
      <c r="P39" s="18">
        <f>IF(A39&lt;=7,VLOOKUP(A39,Rates!$K$1:$L$8,2,FALSE),1)*L39</f>
        <v>1127413954075.3079</v>
      </c>
      <c r="Q39" s="18">
        <f>IF('ورود اطلاعات'!$E$16="بله",IF(C39&lt;=Rates!$O$4,D39*'ورود اطلاعات'!$H$16,0),0)</f>
        <v>0</v>
      </c>
      <c r="R39" s="18">
        <f>IF('ورود اطلاعات'!$E$15="بله",IF(C39&lt;=Rates!$O$3,'ورود اطلاعات'!$H$15*D39,0),0)</f>
        <v>0</v>
      </c>
      <c r="S39" s="18">
        <f>IF(AND(C39&gt;=0,C39&lt;=Rates!$O$2,F39&gt;0),MIN(S38*(1+'ورود اطلاعات'!$E$8),IF('ورود اطلاعات'!$H$22="معمولی", 300000000,5000000000)),0)</f>
        <v>0</v>
      </c>
      <c r="T39" s="18">
        <f>IF(AND(C39&lt;=Rates!$O$11,'ورود اطلاعات'!$E$16="بله"),'ورود اطلاعات'!$N$23*('Offline Table'!Q39),0)</f>
        <v>0</v>
      </c>
      <c r="U39" s="18">
        <f>IFERROR(IF(C39&lt;=Rates!$O$1,0.8/1000,0)*Q39*(1+VLOOKUP('ورود اطلاعات'!$E$25,Rates!$Q$1:$T$9,4,FALSE)/100),"")</f>
        <v>0</v>
      </c>
      <c r="V39" s="18">
        <f>IFERROR(IF(C39&lt;=Rates!$O$2,0.8/1000,0)*R39*(1+VLOOKUP('ورود اطلاعات'!$E$25,Rates!$Q$1:$T$9,4,FALSE)/100),"")</f>
        <v>0</v>
      </c>
      <c r="W39" s="18">
        <f>IF(AND(C39&lt;=Rates!$O$2,'ورود اطلاعات'!$H$22="معمولی"),VLOOKUP(C39,Rates!$A$1:$E$108,5,0),IF(AND(C39&lt;=Rates!$O$2,'ورود اطلاعات'!$H$22="پایه"),VLOOKUP(C39,Rates!$A$1:$F$108,6,0),IF(AND(C39&lt;=Rates!$O$2,'ورود اطلاعات'!$H$22="آسایش "),VLOOKUP(C39,Rates!$A$1:$G$108,7,0),IF(AND(C39&lt;=Rates!$O$2,'ورود اطلاعات'!$H$22="ممتاز"),VLOOKUP(C39,Rates!$A$1:$H$108,8,0),0))))*S39/1000000*(1+'ورود اطلاعات'!$E$22)</f>
        <v>0</v>
      </c>
      <c r="X39" s="18">
        <f>IFERROR(IF(C39&lt;=Rates!$O$11,0.8/1000*T39*(1+VLOOKUP('ورود اطلاعات'!$E$25,Rates!$Q$1:$T$9,4,FALSE)/100),0),"")</f>
        <v>0</v>
      </c>
      <c r="Y39" s="18">
        <f>(D39+U39+V39+W39+X39)*VLOOKUP('ورود اطلاعات'!$E$20,Rates!$V$1:$W$5,2,FALSE)</f>
        <v>0</v>
      </c>
      <c r="Z39" s="18">
        <f t="shared" si="0"/>
        <v>0</v>
      </c>
      <c r="AA39" s="18">
        <f>IFERROR(IF(C39&lt;=Rates!$O$1,VLOOKUP('ورود اطلاعات'!$E$20,Rates!$V$1:$X$5,3,FALSE),0),"")</f>
        <v>1</v>
      </c>
      <c r="AB39" s="18">
        <f>IFERROR(IF(C39&lt;=Rates!$O$1,(D39+Z39)/AA39,0),"")</f>
        <v>379386556581.91077</v>
      </c>
    </row>
    <row r="40" spans="1:28" x14ac:dyDescent="0.25">
      <c r="A40" s="17">
        <f>IF(A39&lt;&gt;"",IF(A39+1&lt;=(Rates!$O$1-'ورود اطلاعات'!$E$6),A39+1,""),"")</f>
        <v>38</v>
      </c>
      <c r="B40" s="17">
        <f>IF(C40&lt;=Rates!$O$1,B39+1,"")</f>
        <v>38</v>
      </c>
      <c r="C40" s="17">
        <f>IF(C39&lt;Rates!$O$1,C39+1,"")</f>
        <v>77</v>
      </c>
      <c r="D40" s="18">
        <f>IF(C40&lt;=Rates!$O$1,D39*(1+'ورود اطلاعات'!$E$8),0)</f>
        <v>493202523556.48401</v>
      </c>
      <c r="E40" s="18">
        <f>IF(C40&lt;=Rates!$O$1,INT(D40+E39),0)</f>
        <v>2137110935396</v>
      </c>
      <c r="F40" s="18">
        <f>IF(C40&lt;=Rates!$O$1,ROUND(F39*(1+'ورود اطلاعات'!$E$9),0),0)</f>
        <v>8877645423881</v>
      </c>
      <c r="G40" s="18">
        <f>IF(A40&lt;=5,IF(C40&lt;=Rates!$O$1,$D$3*5/100,0),0)</f>
        <v>0</v>
      </c>
      <c r="H40" s="18">
        <f>IF(A40&lt;=5,ROUND(F40*Rates!$O$9,0),0)</f>
        <v>0</v>
      </c>
      <c r="I40" s="18">
        <f>IF(C40&lt;=Rates!$O$1,D40*Rates!$O$10,0)</f>
        <v>17262088324.47694</v>
      </c>
      <c r="J40" s="18">
        <f>IF(C40&lt;=Rates!$O$1,F40*(VLOOKUP(C40,Rates!$A$1:$D$108,4,FALSE))/(1.1^0.5),0)</f>
        <v>452451891975.95245</v>
      </c>
      <c r="K40" s="18">
        <f>IF(C40&lt;=Rates!$O$1,D40-(G40+H40+I40+J40),0)</f>
        <v>23488543256.054626</v>
      </c>
      <c r="L40" s="18">
        <f>IF(C40&lt;=Rates!$O$1,(K40+L39)*(1+(IF(B40&lt;=2,Rates!$O$5,IF(B40&lt;=4,Rates!$O$6,Rates!$O$7)))),0)</f>
        <v>1265992747064.499</v>
      </c>
      <c r="M40" s="18">
        <f>IF(C40&lt;=Rates!$O$1,(B40*D40)+(D40*'ورود اطلاعات'!$E$19/12),0)</f>
        <v>18741695895146.391</v>
      </c>
      <c r="N40" s="18">
        <f>IF(C40&lt;=Rates!$O$1,K40*(1+IF(A40&lt;=2,Rates!$O$5,IF(A40&lt;=4,Rates!$O$6,Rates!$O$7))+(Rates!$O$8-IF(A40&lt;=2,Rates!$O$5,IF(A40&lt;=4,Rates!$O$6,Rates!$O$7)))*(VLOOKUP('ورود اطلاعات'!$E$20,Rates!$V$1:$Y$5,4,FALSE)))+N39*(1+IF(A40&lt;=2,Rates!$O$5,IF(A40&lt;=4,Rates!$O$6,Rates!$O$7))+(Rates!$O$8-IF(A40&lt;=2,Rates!$O$5,IF(A40&lt;=4,Rates!$O$6,Rates!$O$7)))),0)</f>
        <v>4126796068879.4268</v>
      </c>
      <c r="O40" s="18">
        <f t="shared" si="1"/>
        <v>0</v>
      </c>
      <c r="P40" s="18">
        <f>IF(A40&lt;=7,VLOOKUP(A40,Rates!$K$1:$L$8,2,FALSE),1)*L40</f>
        <v>1265992747064.499</v>
      </c>
      <c r="Q40" s="18">
        <f>IF('ورود اطلاعات'!$E$16="بله",IF(C40&lt;=Rates!$O$4,D40*'ورود اطلاعات'!$H$16,0),0)</f>
        <v>0</v>
      </c>
      <c r="R40" s="18">
        <f>IF('ورود اطلاعات'!$E$15="بله",IF(C40&lt;=Rates!$O$3,'ورود اطلاعات'!$H$15*D40,0),0)</f>
        <v>0</v>
      </c>
      <c r="S40" s="18">
        <f>IF(AND(C40&gt;=0,C40&lt;=Rates!$O$2,F40&gt;0),MIN(S39*(1+'ورود اطلاعات'!$E$8),IF('ورود اطلاعات'!$H$22="معمولی", 300000000,5000000000)),0)</f>
        <v>0</v>
      </c>
      <c r="T40" s="18">
        <f>IF(AND(C40&lt;=Rates!$O$11,'ورود اطلاعات'!$E$16="بله"),'ورود اطلاعات'!$N$23*('Offline Table'!Q40),0)</f>
        <v>0</v>
      </c>
      <c r="U40" s="18">
        <f>IFERROR(IF(C40&lt;=Rates!$O$1,0.8/1000,0)*Q40*(1+VLOOKUP('ورود اطلاعات'!$E$25,Rates!$Q$1:$T$9,4,FALSE)/100),"")</f>
        <v>0</v>
      </c>
      <c r="V40" s="18">
        <f>IFERROR(IF(C40&lt;=Rates!$O$2,0.8/1000,0)*R40*(1+VLOOKUP('ورود اطلاعات'!$E$25,Rates!$Q$1:$T$9,4,FALSE)/100),"")</f>
        <v>0</v>
      </c>
      <c r="W40" s="18">
        <f>IF(AND(C40&lt;=Rates!$O$2,'ورود اطلاعات'!$H$22="معمولی"),VLOOKUP(C40,Rates!$A$1:$E$108,5,0),IF(AND(C40&lt;=Rates!$O$2,'ورود اطلاعات'!$H$22="پایه"),VLOOKUP(C40,Rates!$A$1:$F$108,6,0),IF(AND(C40&lt;=Rates!$O$2,'ورود اطلاعات'!$H$22="آسایش "),VLOOKUP(C40,Rates!$A$1:$G$108,7,0),IF(AND(C40&lt;=Rates!$O$2,'ورود اطلاعات'!$H$22="ممتاز"),VLOOKUP(C40,Rates!$A$1:$H$108,8,0),0))))*S40/1000000*(1+'ورود اطلاعات'!$E$22)</f>
        <v>0</v>
      </c>
      <c r="X40" s="18">
        <f>IFERROR(IF(C40&lt;=Rates!$O$11,0.8/1000*T40*(1+VLOOKUP('ورود اطلاعات'!$E$25,Rates!$Q$1:$T$9,4,FALSE)/100),0),"")</f>
        <v>0</v>
      </c>
      <c r="Y40" s="18">
        <f>(D40+U40+V40+W40+X40)*VLOOKUP('ورود اطلاعات'!$E$20,Rates!$V$1:$W$5,2,FALSE)</f>
        <v>0</v>
      </c>
      <c r="Z40" s="18">
        <f t="shared" si="0"/>
        <v>0</v>
      </c>
      <c r="AA40" s="18">
        <f>IFERROR(IF(C40&lt;=Rates!$O$1,VLOOKUP('ورود اطلاعات'!$E$20,Rates!$V$1:$X$5,3,FALSE),0),"")</f>
        <v>1</v>
      </c>
      <c r="AB40" s="18">
        <f>IFERROR(IF(C40&lt;=Rates!$O$1,(D40+Z40)/AA40,0),"")</f>
        <v>493202523556.48401</v>
      </c>
    </row>
    <row r="41" spans="1:28" x14ac:dyDescent="0.25">
      <c r="A41" s="17">
        <f>IF(A40&lt;&gt;"",IF(A40+1&lt;=(Rates!$O$1-'ورود اطلاعات'!$E$6),A40+1,""),"")</f>
        <v>39</v>
      </c>
      <c r="B41" s="17">
        <f>IF(C41&lt;=Rates!$O$1,B40+1,"")</f>
        <v>39</v>
      </c>
      <c r="C41" s="17">
        <f>IF(C40&lt;Rates!$O$1,C40+1,"")</f>
        <v>78</v>
      </c>
      <c r="D41" s="18">
        <f>IF(C41&lt;=Rates!$O$1,D40*(1+'ورود اطلاعات'!$E$8),0)</f>
        <v>641163280623.4292</v>
      </c>
      <c r="E41" s="18">
        <f>IF(C41&lt;=Rates!$O$1,INT(D41+E40),0)</f>
        <v>2778274216019</v>
      </c>
      <c r="F41" s="18">
        <f>IF(C41&lt;=Rates!$O$1,ROUND(F40*(1+'ورود اطلاعات'!$E$9),0),0)</f>
        <v>11540939051045</v>
      </c>
      <c r="G41" s="18">
        <f>IF(A41&lt;=5,IF(C41&lt;=Rates!$O$1,$D$3*5/100,0),0)</f>
        <v>0</v>
      </c>
      <c r="H41" s="18">
        <f>IF(A41&lt;=5,ROUND(F41*Rates!$O$9,0),0)</f>
        <v>0</v>
      </c>
      <c r="I41" s="18">
        <f>IF(C41&lt;=Rates!$O$1,D41*Rates!$O$10,0)</f>
        <v>22440714821.820023</v>
      </c>
      <c r="J41" s="18">
        <f>IF(C41&lt;=Rates!$O$1,F41*(VLOOKUP(C41,Rates!$A$1:$D$108,4,FALSE))/(1.1^0.5),0)</f>
        <v>648429674866.10425</v>
      </c>
      <c r="K41" s="18">
        <f>IF(C41&lt;=Rates!$O$1,D41-(G41+H41+I41+J41),0)</f>
        <v>-29707109064.495117</v>
      </c>
      <c r="L41" s="18">
        <f>IF(C41&lt;=Rates!$O$1,(K41+L40)*(1+(IF(B41&lt;=2,Rates!$O$5,IF(B41&lt;=4,Rates!$O$6,Rates!$O$7)))),0)</f>
        <v>1359914201800.0044</v>
      </c>
      <c r="M41" s="18">
        <f>IF(C41&lt;=Rates!$O$1,(B41*D41)+(D41*'ورود اطلاعات'!$E$19/12),0)</f>
        <v>25005367944313.738</v>
      </c>
      <c r="N41" s="18">
        <f>IF(C41&lt;=Rates!$O$1,K41*(1+IF(A41&lt;=2,Rates!$O$5,IF(A41&lt;=4,Rates!$O$6,Rates!$O$7))+(Rates!$O$8-IF(A41&lt;=2,Rates!$O$5,IF(A41&lt;=4,Rates!$O$6,Rates!$O$7)))*(VLOOKUP('ورود اطلاعات'!$E$20,Rates!$V$1:$Y$5,4,FALSE)))+N40*(1+IF(A41&lt;=2,Rates!$O$5,IF(A41&lt;=4,Rates!$O$6,Rates!$O$7))+(Rates!$O$8-IF(A41&lt;=2,Rates!$O$5,IF(A41&lt;=4,Rates!$O$6,Rates!$O$7)))),0)</f>
        <v>4946433544854.3711</v>
      </c>
      <c r="O41" s="18">
        <f t="shared" si="1"/>
        <v>0</v>
      </c>
      <c r="P41" s="18">
        <f>IF(A41&lt;=7,VLOOKUP(A41,Rates!$K$1:$L$8,2,FALSE),1)*L41</f>
        <v>1359914201800.0044</v>
      </c>
      <c r="Q41" s="18">
        <f>IF('ورود اطلاعات'!$E$16="بله",IF(C41&lt;=Rates!$O$4,D41*'ورود اطلاعات'!$H$16,0),0)</f>
        <v>0</v>
      </c>
      <c r="R41" s="18">
        <f>IF('ورود اطلاعات'!$E$15="بله",IF(C41&lt;=Rates!$O$3,'ورود اطلاعات'!$H$15*D41,0),0)</f>
        <v>0</v>
      </c>
      <c r="S41" s="18">
        <f>IF(AND(C41&gt;=0,C41&lt;=Rates!$O$2,F41&gt;0),MIN(S40*(1+'ورود اطلاعات'!$E$8),IF('ورود اطلاعات'!$H$22="معمولی", 300000000,5000000000)),0)</f>
        <v>0</v>
      </c>
      <c r="T41" s="18">
        <f>IF(AND(C41&lt;=Rates!$O$11,'ورود اطلاعات'!$E$16="بله"),'ورود اطلاعات'!$N$23*('Offline Table'!Q41),0)</f>
        <v>0</v>
      </c>
      <c r="U41" s="18">
        <f>IFERROR(IF(C41&lt;=Rates!$O$1,0.8/1000,0)*Q41*(1+VLOOKUP('ورود اطلاعات'!$E$25,Rates!$Q$1:$T$9,4,FALSE)/100),"")</f>
        <v>0</v>
      </c>
      <c r="V41" s="18">
        <f>IFERROR(IF(C41&lt;=Rates!$O$2,0.8/1000,0)*R41*(1+VLOOKUP('ورود اطلاعات'!$E$25,Rates!$Q$1:$T$9,4,FALSE)/100),"")</f>
        <v>0</v>
      </c>
      <c r="W41" s="18">
        <f>IF(AND(C41&lt;=Rates!$O$2,'ورود اطلاعات'!$H$22="معمولی"),VLOOKUP(C41,Rates!$A$1:$E$108,5,0),IF(AND(C41&lt;=Rates!$O$2,'ورود اطلاعات'!$H$22="پایه"),VLOOKUP(C41,Rates!$A$1:$F$108,6,0),IF(AND(C41&lt;=Rates!$O$2,'ورود اطلاعات'!$H$22="آسایش "),VLOOKUP(C41,Rates!$A$1:$G$108,7,0),IF(AND(C41&lt;=Rates!$O$2,'ورود اطلاعات'!$H$22="ممتاز"),VLOOKUP(C41,Rates!$A$1:$H$108,8,0),0))))*S41/1000000*(1+'ورود اطلاعات'!$E$22)</f>
        <v>0</v>
      </c>
      <c r="X41" s="18">
        <f>IFERROR(IF(C41&lt;=Rates!$O$11,0.8/1000*T41*(1+VLOOKUP('ورود اطلاعات'!$E$25,Rates!$Q$1:$T$9,4,FALSE)/100),0),"")</f>
        <v>0</v>
      </c>
      <c r="Y41" s="18">
        <f>(D41+U41+V41+W41+X41)*VLOOKUP('ورود اطلاعات'!$E$20,Rates!$V$1:$W$5,2,FALSE)</f>
        <v>0</v>
      </c>
      <c r="Z41" s="18">
        <f t="shared" si="0"/>
        <v>0</v>
      </c>
      <c r="AA41" s="18">
        <f>IFERROR(IF(C41&lt;=Rates!$O$1,VLOOKUP('ورود اطلاعات'!$E$20,Rates!$V$1:$X$5,3,FALSE),0),"")</f>
        <v>1</v>
      </c>
      <c r="AB41" s="18">
        <f>IFERROR(IF(C41&lt;=Rates!$O$1,(D41+Z41)/AA41,0),"")</f>
        <v>641163280623.4292</v>
      </c>
    </row>
    <row r="42" spans="1:28" x14ac:dyDescent="0.25">
      <c r="A42" s="17">
        <f>IF(A41&lt;&gt;"",IF(A41+1&lt;=(Rates!$O$1-'ورود اطلاعات'!$E$6),A41+1,""),"")</f>
        <v>40</v>
      </c>
      <c r="B42" s="17">
        <f>IF(C42&lt;=Rates!$O$1,B41+1,"")</f>
        <v>40</v>
      </c>
      <c r="C42" s="17">
        <f>IF(C41&lt;Rates!$O$1,C41+1,"")</f>
        <v>79</v>
      </c>
      <c r="D42" s="18">
        <f>IF(C42&lt;=Rates!$O$1,D41*(1+'ورود اطلاعات'!$E$8),0)</f>
        <v>833512264810.45801</v>
      </c>
      <c r="E42" s="18">
        <f>IF(C42&lt;=Rates!$O$1,INT(D42+E41),0)</f>
        <v>3611786480829</v>
      </c>
      <c r="F42" s="18">
        <f>IF(C42&lt;=Rates!$O$1,ROUND(F41*(1+'ورود اطلاعات'!$E$9),0),0)</f>
        <v>15003220766359</v>
      </c>
      <c r="G42" s="18">
        <f>IF(A42&lt;=5,IF(C42&lt;=Rates!$O$1,$D$3*5/100,0),0)</f>
        <v>0</v>
      </c>
      <c r="H42" s="18">
        <f>IF(A42&lt;=5,ROUND(F42*Rates!$O$9,0),0)</f>
        <v>0</v>
      </c>
      <c r="I42" s="18">
        <f>IF(C42&lt;=Rates!$O$1,D42*Rates!$O$10,0)</f>
        <v>29172929268.366032</v>
      </c>
      <c r="J42" s="18">
        <f>IF(C42&lt;=Rates!$O$1,F42*(VLOOKUP(C42,Rates!$A$1:$D$108,4,FALSE))/(1.1^0.5),0)</f>
        <v>928834290624.58789</v>
      </c>
      <c r="K42" s="18">
        <f>IF(C42&lt;=Rates!$O$1,D42-(G42+H42+I42+J42),0)</f>
        <v>-124494955082.49597</v>
      </c>
      <c r="L42" s="18">
        <f>IF(C42&lt;=Rates!$O$1,(K42+L41)*(1+(IF(B42&lt;=2,Rates!$O$5,IF(B42&lt;=4,Rates!$O$6,Rates!$O$7)))),0)</f>
        <v>1358961171389.2593</v>
      </c>
      <c r="M42" s="18">
        <f>IF(C42&lt;=Rates!$O$1,(B42*D42)+(D42*'ورود اطلاعات'!$E$19/12),0)</f>
        <v>33340490592418.32</v>
      </c>
      <c r="N42" s="18">
        <f>IF(C42&lt;=Rates!$O$1,K42*(1+IF(A42&lt;=2,Rates!$O$5,IF(A42&lt;=4,Rates!$O$6,Rates!$O$7))+(Rates!$O$8-IF(A42&lt;=2,Rates!$O$5,IF(A42&lt;=4,Rates!$O$6,Rates!$O$7)))*(VLOOKUP('ورود اطلاعات'!$E$20,Rates!$V$1:$Y$5,4,FALSE)))+N41*(1+IF(A42&lt;=2,Rates!$O$5,IF(A42&lt;=4,Rates!$O$6,Rates!$O$7))+(Rates!$O$8-IF(A42&lt;=2,Rates!$O$5,IF(A42&lt;=4,Rates!$O$6,Rates!$O$7)))),0)</f>
        <v>5821547695355.0859</v>
      </c>
      <c r="O42" s="18">
        <f t="shared" si="1"/>
        <v>0</v>
      </c>
      <c r="P42" s="18">
        <f>IF(A42&lt;=7,VLOOKUP(A42,Rates!$K$1:$L$8,2,FALSE),1)*L42</f>
        <v>1358961171389.2593</v>
      </c>
      <c r="Q42" s="18">
        <f>IF('ورود اطلاعات'!$E$16="بله",IF(C42&lt;=Rates!$O$4,D42*'ورود اطلاعات'!$H$16,0),0)</f>
        <v>0</v>
      </c>
      <c r="R42" s="18">
        <f>IF('ورود اطلاعات'!$E$15="بله",IF(C42&lt;=Rates!$O$3,'ورود اطلاعات'!$H$15*D42,0),0)</f>
        <v>0</v>
      </c>
      <c r="S42" s="18">
        <f>IF(AND(C42&gt;=0,C42&lt;=Rates!$O$2,F42&gt;0),MIN(S41*(1+'ورود اطلاعات'!$E$8),IF('ورود اطلاعات'!$H$22="معمولی", 300000000,5000000000)),0)</f>
        <v>0</v>
      </c>
      <c r="T42" s="18">
        <f>IF(AND(C42&lt;=Rates!$O$11,'ورود اطلاعات'!$E$16="بله"),'ورود اطلاعات'!$N$23*('Offline Table'!Q42),0)</f>
        <v>0</v>
      </c>
      <c r="U42" s="18">
        <f>IFERROR(IF(C42&lt;=Rates!$O$1,0.8/1000,0)*Q42*(1+VLOOKUP('ورود اطلاعات'!$E$25,Rates!$Q$1:$T$9,4,FALSE)/100),"")</f>
        <v>0</v>
      </c>
      <c r="V42" s="18">
        <f>IFERROR(IF(C42&lt;=Rates!$O$2,0.8/1000,0)*R42*(1+VLOOKUP('ورود اطلاعات'!$E$25,Rates!$Q$1:$T$9,4,FALSE)/100),"")</f>
        <v>0</v>
      </c>
      <c r="W42" s="18">
        <f>IF(AND(C42&lt;=Rates!$O$2,'ورود اطلاعات'!$H$22="معمولی"),VLOOKUP(C42,Rates!$A$1:$E$108,5,0),IF(AND(C42&lt;=Rates!$O$2,'ورود اطلاعات'!$H$22="پایه"),VLOOKUP(C42,Rates!$A$1:$F$108,6,0),IF(AND(C42&lt;=Rates!$O$2,'ورود اطلاعات'!$H$22="آسایش "),VLOOKUP(C42,Rates!$A$1:$G$108,7,0),IF(AND(C42&lt;=Rates!$O$2,'ورود اطلاعات'!$H$22="ممتاز"),VLOOKUP(C42,Rates!$A$1:$H$108,8,0),0))))*S42/1000000*(1+'ورود اطلاعات'!$E$22)</f>
        <v>0</v>
      </c>
      <c r="X42" s="18">
        <f>IFERROR(IF(C42&lt;=Rates!$O$11,0.8/1000*T42*(1+VLOOKUP('ورود اطلاعات'!$E$25,Rates!$Q$1:$T$9,4,FALSE)/100),0),"")</f>
        <v>0</v>
      </c>
      <c r="Y42" s="18">
        <f>(D42+U42+V42+W42+X42)*VLOOKUP('ورود اطلاعات'!$E$20,Rates!$V$1:$W$5,2,FALSE)</f>
        <v>0</v>
      </c>
      <c r="Z42" s="18">
        <f t="shared" si="0"/>
        <v>0</v>
      </c>
      <c r="AA42" s="18">
        <f>IFERROR(IF(C42&lt;=Rates!$O$1,VLOOKUP('ورود اطلاعات'!$E$20,Rates!$V$1:$X$5,3,FALSE),0),"")</f>
        <v>1</v>
      </c>
      <c r="AB42" s="18">
        <f>IFERROR(IF(C42&lt;=Rates!$O$1,(D42+Z42)/AA42,0),"")</f>
        <v>833512264810.45801</v>
      </c>
    </row>
    <row r="43" spans="1:28" x14ac:dyDescent="0.25">
      <c r="A43" s="17" t="str">
        <f>IF(A42&lt;&gt;"",IF(A42+1&lt;=(Rates!$O$1-'ورود اطلاعات'!$E$6),A42+1,""),"")</f>
        <v/>
      </c>
      <c r="B43" s="17">
        <f>IF(C43&lt;=Rates!$O$1,B42+1,"")</f>
        <v>41</v>
      </c>
      <c r="C43" s="17">
        <f>IF(C42&lt;Rates!$O$1,C42+1,"")</f>
        <v>80</v>
      </c>
      <c r="D43" s="18">
        <f>IF(C43&lt;=Rates!$O$1,D42*(1+'ورود اطلاعات'!$E$8),0)</f>
        <v>1083565944253.5955</v>
      </c>
      <c r="E43" s="18">
        <f>IF(C43&lt;=Rates!$O$1,INT(D43+E42),0)</f>
        <v>4695352425082</v>
      </c>
      <c r="F43" s="18">
        <f>IF(C43&lt;=Rates!$O$1,ROUND(F42*(1+'ورود اطلاعات'!$E$9),0),0)</f>
        <v>19504186996267</v>
      </c>
      <c r="G43" s="18">
        <f>IF(A43&lt;=5,IF(C43&lt;=Rates!$O$1,$D$3*5/100,0),0)</f>
        <v>0</v>
      </c>
      <c r="H43" s="18">
        <f>IF(A43&lt;=5,ROUND(F43*Rates!$O$9,0),0)</f>
        <v>0</v>
      </c>
      <c r="I43" s="18">
        <f>IF(C43&lt;=Rates!$O$1,D43*Rates!$O$10,0)</f>
        <v>37924808048.875847</v>
      </c>
      <c r="J43" s="18">
        <f>IF(C43&lt;=Rates!$O$1,F43*(VLOOKUP(C43,Rates!$A$1:$D$108,4,FALSE))/(1.1^0.5),0)</f>
        <v>1329473901371.28</v>
      </c>
      <c r="K43" s="18">
        <f>IF(C43&lt;=Rates!$O$1,D43-(G43+H43+I43+J43),0)</f>
        <v>-283832765166.5603</v>
      </c>
      <c r="L43" s="18">
        <f>IF(C43&lt;=Rates!$O$1,(K43+L42)*(1+(IF(B43&lt;=2,Rates!$O$5,IF(B43&lt;=4,Rates!$O$6,Rates!$O$7)))),0)</f>
        <v>1182641246844.969</v>
      </c>
      <c r="M43" s="18">
        <f>IF(C43&lt;=Rates!$O$1,(B43*D43)+(D43*'ورود اطلاعات'!$E$19/12),0)</f>
        <v>44426203714397.414</v>
      </c>
      <c r="N43" s="18">
        <f>IF(C43&lt;=Rates!$O$1,K43*(1+IF(A43&lt;=2,Rates!$O$5,IF(A43&lt;=4,Rates!$O$6,Rates!$O$7))+(Rates!$O$8-IF(A43&lt;=2,Rates!$O$5,IF(A43&lt;=4,Rates!$O$6,Rates!$O$7)))*(VLOOKUP('ورود اطلاعات'!$E$20,Rates!$V$1:$Y$5,4,FALSE)))+N42*(1+IF(A43&lt;=2,Rates!$O$5,IF(A43&lt;=4,Rates!$O$6,Rates!$O$7))+(Rates!$O$8-IF(A43&lt;=2,Rates!$O$5,IF(A43&lt;=4,Rates!$O$6,Rates!$O$7)))),0)</f>
        <v>6685707623434.8398</v>
      </c>
      <c r="O43" s="18">
        <f t="shared" si="1"/>
        <v>0</v>
      </c>
      <c r="P43" s="18">
        <f>IF(A43&lt;=7,VLOOKUP(A43,Rates!$K$1:$L$8,2,FALSE),1)*L43</f>
        <v>1182641246844.969</v>
      </c>
      <c r="Q43" s="18">
        <f>IF('ورود اطلاعات'!$E$16="بله",IF(C43&lt;=Rates!$O$4,D43*'ورود اطلاعات'!$H$16,0),0)</f>
        <v>0</v>
      </c>
      <c r="R43" s="18">
        <f>IF('ورود اطلاعات'!$E$15="بله",IF(C43&lt;=Rates!$O$3,'ورود اطلاعات'!$H$15*D43,0),0)</f>
        <v>0</v>
      </c>
      <c r="S43" s="18">
        <f>IF(AND(C43&gt;=0,C43&lt;=Rates!$O$2,F43&gt;0),MIN(S42*(1+'ورود اطلاعات'!$E$8),IF('ورود اطلاعات'!$H$22="معمولی", 300000000,5000000000)),0)</f>
        <v>0</v>
      </c>
      <c r="T43" s="18">
        <f>IF(AND(C43&lt;=Rates!$O$11,'ورود اطلاعات'!$E$16="بله"),'ورود اطلاعات'!$N$23*('Offline Table'!Q43),0)</f>
        <v>0</v>
      </c>
      <c r="U43" s="18">
        <f>IFERROR(IF(C43&lt;=Rates!$O$1,0.8/1000,0)*Q43*(1+VLOOKUP('ورود اطلاعات'!$E$25,Rates!$Q$1:$T$9,4,FALSE)/100),"")</f>
        <v>0</v>
      </c>
      <c r="V43" s="18">
        <f>IFERROR(IF(C43&lt;=Rates!$O$2,0.8/1000,0)*R43*(1+VLOOKUP('ورود اطلاعات'!$E$25,Rates!$Q$1:$T$9,4,FALSE)/100),"")</f>
        <v>0</v>
      </c>
      <c r="W43" s="18">
        <f>IF(AND(C43&lt;=Rates!$O$2,'ورود اطلاعات'!$H$22="معمولی"),VLOOKUP(C43,Rates!$A$1:$E$108,5,0),IF(AND(C43&lt;=Rates!$O$2,'ورود اطلاعات'!$H$22="پایه"),VLOOKUP(C43,Rates!$A$1:$F$108,6,0),IF(AND(C43&lt;=Rates!$O$2,'ورود اطلاعات'!$H$22="آسایش "),VLOOKUP(C43,Rates!$A$1:$G$108,7,0),IF(AND(C43&lt;=Rates!$O$2,'ورود اطلاعات'!$H$22="ممتاز"),VLOOKUP(C43,Rates!$A$1:$H$108,8,0),0))))*S43/1000000*(1+'ورود اطلاعات'!$E$22)</f>
        <v>0</v>
      </c>
      <c r="X43" s="18">
        <f>IFERROR(IF(C43&lt;=Rates!$O$11,0.8/1000*T43*(1+VLOOKUP('ورود اطلاعات'!$E$25,Rates!$Q$1:$T$9,4,FALSE)/100),0),"")</f>
        <v>0</v>
      </c>
      <c r="Y43" s="18">
        <f>(D43+U43+V43+W43+X43)*VLOOKUP('ورود اطلاعات'!$E$20,Rates!$V$1:$W$5,2,FALSE)</f>
        <v>0</v>
      </c>
      <c r="Z43" s="18">
        <f t="shared" si="0"/>
        <v>0</v>
      </c>
      <c r="AA43" s="18">
        <f>IFERROR(IF(C43&lt;=Rates!$O$1,VLOOKUP('ورود اطلاعات'!$E$20,Rates!$V$1:$X$5,3,FALSE),0),"")</f>
        <v>1</v>
      </c>
      <c r="AB43" s="18">
        <f>IFERROR(IF(C43&lt;=Rates!$O$1,(D43+Z43)/AA43,0),"")</f>
        <v>1083565944253.5955</v>
      </c>
    </row>
    <row r="44" spans="1:28" x14ac:dyDescent="0.25">
      <c r="A44" s="17" t="str">
        <f>IF(A43&lt;&gt;"",IF(A43+1&lt;=(Rates!$O$1-'ورود اطلاعات'!$E$6),A43+1,""),"")</f>
        <v/>
      </c>
      <c r="B44" s="17" t="str">
        <f>IF(C44&lt;=Rates!$O$1,B43+1,"")</f>
        <v/>
      </c>
      <c r="C44" s="17" t="str">
        <f>IF(C43&lt;Rates!$O$1,C43+1,"")</f>
        <v/>
      </c>
      <c r="D44" s="18">
        <f>IF(C44&lt;=Rates!$O$1,D43*(1+'ورود اطلاعات'!$E$8),0)</f>
        <v>0</v>
      </c>
      <c r="E44" s="18">
        <f>IF(C44&lt;=Rates!$O$1,INT(D44+E43),0)</f>
        <v>0</v>
      </c>
      <c r="F44" s="18">
        <f>IF(C44&lt;=Rates!$O$1,ROUND(F43*(1+'ورود اطلاعات'!$E$9),0),0)</f>
        <v>0</v>
      </c>
      <c r="G44" s="18">
        <f>IF(A44&lt;=5,IF(C44&lt;=Rates!$O$1,$D$3*5/100,0),0)</f>
        <v>0</v>
      </c>
      <c r="H44" s="18">
        <f>IF(A44&lt;=5,ROUND(F44*Rates!$O$9,0),0)</f>
        <v>0</v>
      </c>
      <c r="I44" s="18">
        <f>IF(C44&lt;=Rates!$O$1,D44*Rates!$O$10,0)</f>
        <v>0</v>
      </c>
      <c r="J44" s="18">
        <f>IF(C44&lt;=Rates!$O$1,F44*(VLOOKUP(C44,Rates!$A$1:$D$108,4,FALSE))/(1.1^0.5),0)</f>
        <v>0</v>
      </c>
      <c r="K44" s="18">
        <f>IF(C44&lt;=Rates!$O$1,D44-(G44+H44+I44+J44),0)</f>
        <v>0</v>
      </c>
      <c r="L44" s="18">
        <f>IF(C44&lt;=Rates!$O$1,(K44+L43)*(1+(IF(B44&lt;=2,Rates!$O$5,IF(B44&lt;=4,Rates!$O$6,Rates!$O$7)))),0)</f>
        <v>0</v>
      </c>
      <c r="M44" s="18">
        <f>IF(C44&lt;=Rates!$O$1,(B44*D44)+(D44*'ورود اطلاعات'!$E$19/12),0)</f>
        <v>0</v>
      </c>
      <c r="N44" s="18">
        <f>IF(C44&lt;=Rates!$O$1,K44*(1+IF(A44&lt;=2,Rates!$O$5,IF(A44&lt;=4,Rates!$O$6,Rates!$O$7))+(Rates!$O$8-IF(A44&lt;=2,Rates!$O$5,IF(A44&lt;=4,Rates!$O$6,Rates!$O$7)))*(VLOOKUP('ورود اطلاعات'!$E$20,Rates!$V$1:$Y$5,4,FALSE)))+N43*(1+IF(A44&lt;=2,Rates!$O$5,IF(A44&lt;=4,Rates!$O$6,Rates!$O$7))+(Rates!$O$8-IF(A44&lt;=2,Rates!$O$5,IF(A44&lt;=4,Rates!$O$6,Rates!$O$7)))),0)</f>
        <v>0</v>
      </c>
      <c r="O44" s="18">
        <f t="shared" si="1"/>
        <v>0</v>
      </c>
      <c r="P44" s="18">
        <f>IF(A44&lt;=7,VLOOKUP(A44,Rates!$K$1:$L$8,2,FALSE),1)*L44</f>
        <v>0</v>
      </c>
      <c r="Q44" s="18">
        <f>IF('ورود اطلاعات'!$E$16="بله",IF(C44&lt;=Rates!$O$4,D44*'ورود اطلاعات'!$H$16,0),0)</f>
        <v>0</v>
      </c>
      <c r="R44" s="18">
        <f>IF('ورود اطلاعات'!$E$15="بله",IF(C44&lt;=Rates!$O$3,'ورود اطلاعات'!$H$15*D44,0),0)</f>
        <v>0</v>
      </c>
      <c r="S44" s="18">
        <f>IF(AND(C44&gt;=0,C44&lt;=Rates!$O$2,F44&gt;0),MIN(S43*(1+'ورود اطلاعات'!$E$8),IF('ورود اطلاعات'!$H$22="معمولی", 300000000,5000000000)),0)</f>
        <v>0</v>
      </c>
      <c r="T44" s="18">
        <f>IF(AND(C44&lt;=Rates!$O$11,'ورود اطلاعات'!$E$16="بله"),'ورود اطلاعات'!$N$23*('Offline Table'!Q44),0)</f>
        <v>0</v>
      </c>
      <c r="U44" s="18">
        <f>IFERROR(IF(C44&lt;=Rates!$O$1,0.8/1000,0)*Q44*(1+VLOOKUP('ورود اطلاعات'!$E$25,Rates!$Q$1:$T$9,4,FALSE)/100),"")</f>
        <v>0</v>
      </c>
      <c r="V44" s="18">
        <f>IFERROR(IF(C44&lt;=Rates!$O$2,0.8/1000,0)*R44*(1+VLOOKUP('ورود اطلاعات'!$E$25,Rates!$Q$1:$T$9,4,FALSE)/100),"")</f>
        <v>0</v>
      </c>
      <c r="W44" s="18">
        <f>IF(AND(C44&lt;=Rates!$O$2,'ورود اطلاعات'!$H$22="معمولی"),VLOOKUP(C44,Rates!$A$1:$E$108,5,0),IF(AND(C44&lt;=Rates!$O$2,'ورود اطلاعات'!$H$22="پایه"),VLOOKUP(C44,Rates!$A$1:$F$108,6,0),IF(AND(C44&lt;=Rates!$O$2,'ورود اطلاعات'!$H$22="آسایش "),VLOOKUP(C44,Rates!$A$1:$G$108,7,0),IF(AND(C44&lt;=Rates!$O$2,'ورود اطلاعات'!$H$22="ممتاز"),VLOOKUP(C44,Rates!$A$1:$H$108,8,0),0))))*S44/1000000*(1+'ورود اطلاعات'!$E$22)</f>
        <v>0</v>
      </c>
      <c r="X44" s="18">
        <f>IFERROR(IF(C44&lt;=Rates!$O$11,0.8/1000*T44*(1+VLOOKUP('ورود اطلاعات'!$E$25,Rates!$Q$1:$T$9,4,FALSE)/100),0),"")</f>
        <v>0</v>
      </c>
      <c r="Y44" s="18">
        <f>(D44+U44+V44+W44+X44)*VLOOKUP('ورود اطلاعات'!$E$20,Rates!$V$1:$W$5,2,FALSE)</f>
        <v>0</v>
      </c>
      <c r="Z44" s="18">
        <f t="shared" si="0"/>
        <v>0</v>
      </c>
      <c r="AA44" s="18">
        <f>IFERROR(IF(C44&lt;=Rates!$O$1,VLOOKUP('ورود اطلاعات'!$E$20,Rates!$V$1:$X$5,3,FALSE),0),"")</f>
        <v>0</v>
      </c>
      <c r="AB44" s="18">
        <f>IFERROR(IF(C44&lt;=Rates!$O$1,(D44+Z44)/AA44,0),"")</f>
        <v>0</v>
      </c>
    </row>
    <row r="45" spans="1:28" x14ac:dyDescent="0.25">
      <c r="A45" s="17" t="str">
        <f>IF(A44&lt;&gt;"",IF(A44+1&lt;=(Rates!$O$1-'ورود اطلاعات'!$E$6),A44+1,""),"")</f>
        <v/>
      </c>
      <c r="B45" s="17" t="str">
        <f>IF(C45&lt;=Rates!$O$1,B44+1,"")</f>
        <v/>
      </c>
      <c r="C45" s="17" t="str">
        <f>IF(C44&lt;Rates!$O$1,C44+1,"")</f>
        <v/>
      </c>
      <c r="D45" s="18">
        <f>IF(C45&lt;=Rates!$O$1,D44*(1+'ورود اطلاعات'!$E$8),0)</f>
        <v>0</v>
      </c>
      <c r="E45" s="18">
        <f>IF(C45&lt;=Rates!$O$1,INT(D45+E44),0)</f>
        <v>0</v>
      </c>
      <c r="F45" s="18">
        <f>IF(C45&lt;=Rates!$O$1,ROUND(F44*(1+'ورود اطلاعات'!$E$9),0),0)</f>
        <v>0</v>
      </c>
      <c r="G45" s="18">
        <f>IF(A45&lt;=5,IF(C45&lt;=Rates!$O$1,$D$3*5/100,0),0)</f>
        <v>0</v>
      </c>
      <c r="H45" s="18">
        <f>IF(A45&lt;=5,ROUND(F45*Rates!$O$9,0),0)</f>
        <v>0</v>
      </c>
      <c r="I45" s="18">
        <f>IF(C45&lt;=Rates!$O$1,D45*Rates!$O$10,0)</f>
        <v>0</v>
      </c>
      <c r="J45" s="18">
        <f>IF(C45&lt;=Rates!$O$1,F45*(VLOOKUP(C45,Rates!$A$1:$D$108,4,FALSE))/(1.1^0.5),0)</f>
        <v>0</v>
      </c>
      <c r="K45" s="18">
        <f>IF(C45&lt;=Rates!$O$1,D45-(G45+H45+I45+J45),0)</f>
        <v>0</v>
      </c>
      <c r="L45" s="18">
        <f>IF(C45&lt;=Rates!$O$1,(K45+L44)*(1+(IF(B45&lt;=2,Rates!$O$5,IF(B45&lt;=4,Rates!$O$6,Rates!$O$7)))),0)</f>
        <v>0</v>
      </c>
      <c r="M45" s="18">
        <f>IF(C45&lt;=Rates!$O$1,(B45*D45)+(D45*'ورود اطلاعات'!$E$19/12),0)</f>
        <v>0</v>
      </c>
      <c r="N45" s="18">
        <f>IF(C45&lt;=Rates!$O$1,K45*(1+IF(A45&lt;=2,Rates!$O$5,IF(A45&lt;=4,Rates!$O$6,Rates!$O$7))+(Rates!$O$8-IF(A45&lt;=2,Rates!$O$5,IF(A45&lt;=4,Rates!$O$6,Rates!$O$7)))*(VLOOKUP('ورود اطلاعات'!$E$20,Rates!$V$1:$Y$5,4,FALSE)))+N44*(1+IF(A45&lt;=2,Rates!$O$5,IF(A45&lt;=4,Rates!$O$6,Rates!$O$7))+(Rates!$O$8-IF(A45&lt;=2,Rates!$O$5,IF(A45&lt;=4,Rates!$O$6,Rates!$O$7)))),0)</f>
        <v>0</v>
      </c>
      <c r="O45" s="18">
        <f t="shared" si="1"/>
        <v>0</v>
      </c>
      <c r="P45" s="18">
        <f>IF(A45&lt;=7,VLOOKUP(A45,Rates!$K$1:$L$8,2,FALSE),1)*L45</f>
        <v>0</v>
      </c>
      <c r="Q45" s="18">
        <f>IF('ورود اطلاعات'!$E$16="بله",IF(C45&lt;=Rates!$O$4,D45*'ورود اطلاعات'!$H$16,0),0)</f>
        <v>0</v>
      </c>
      <c r="R45" s="18">
        <f>IF('ورود اطلاعات'!$E$15="بله",IF(C45&lt;=Rates!$O$3,'ورود اطلاعات'!$H$15*D45,0),0)</f>
        <v>0</v>
      </c>
      <c r="S45" s="18">
        <f>IF(AND(C45&gt;=0,C45&lt;=Rates!$O$2,F45&gt;0),MIN(S44*(1+'ورود اطلاعات'!$E$8),IF('ورود اطلاعات'!$H$22="معمولی", 300000000,5000000000)),0)</f>
        <v>0</v>
      </c>
      <c r="T45" s="18">
        <f>IF(AND(C45&lt;=Rates!$O$11,'ورود اطلاعات'!$E$16="بله"),'ورود اطلاعات'!$N$23*('Offline Table'!Q45),0)</f>
        <v>0</v>
      </c>
      <c r="U45" s="18">
        <f>IFERROR(IF(C45&lt;=Rates!$O$1,0.8/1000,0)*Q45*(1+VLOOKUP('ورود اطلاعات'!$E$25,Rates!$Q$1:$T$9,4,FALSE)/100),"")</f>
        <v>0</v>
      </c>
      <c r="V45" s="18">
        <f>IFERROR(IF(C45&lt;=Rates!$O$2,0.8/1000,0)*R45*(1+VLOOKUP('ورود اطلاعات'!$E$25,Rates!$Q$1:$T$9,4,FALSE)/100),"")</f>
        <v>0</v>
      </c>
      <c r="W45" s="18">
        <f>IF(AND(C45&lt;=Rates!$O$2,'ورود اطلاعات'!$H$22="معمولی"),VLOOKUP(C45,Rates!$A$1:$E$108,5,0),IF(AND(C45&lt;=Rates!$O$2,'ورود اطلاعات'!$H$22="پایه"),VLOOKUP(C45,Rates!$A$1:$F$108,6,0),IF(AND(C45&lt;=Rates!$O$2,'ورود اطلاعات'!$H$22="آسایش "),VLOOKUP(C45,Rates!$A$1:$G$108,7,0),IF(AND(C45&lt;=Rates!$O$2,'ورود اطلاعات'!$H$22="ممتاز"),VLOOKUP(C45,Rates!$A$1:$H$108,8,0),0))))*S45/1000000*(1+'ورود اطلاعات'!$E$22)</f>
        <v>0</v>
      </c>
      <c r="X45" s="18">
        <f>IFERROR(IF(C45&lt;=Rates!$O$11,0.8/1000*T45*(1+VLOOKUP('ورود اطلاعات'!$E$25,Rates!$Q$1:$T$9,4,FALSE)/100),0),"")</f>
        <v>0</v>
      </c>
      <c r="Y45" s="18">
        <f>(D45+U45+V45+W45+X45)*VLOOKUP('ورود اطلاعات'!$E$20,Rates!$V$1:$W$5,2,FALSE)</f>
        <v>0</v>
      </c>
      <c r="Z45" s="18">
        <f t="shared" si="0"/>
        <v>0</v>
      </c>
      <c r="AA45" s="18">
        <f>IFERROR(IF(C45&lt;=Rates!$O$1,VLOOKUP('ورود اطلاعات'!$E$20,Rates!$V$1:$X$5,3,FALSE),0),"")</f>
        <v>0</v>
      </c>
      <c r="AB45" s="18">
        <f>IFERROR(IF(C45&lt;=Rates!$O$1,(D45+Z45)/AA45,0),"")</f>
        <v>0</v>
      </c>
    </row>
    <row r="46" spans="1:28" x14ac:dyDescent="0.25">
      <c r="A46" s="17" t="str">
        <f>IF(A45&lt;&gt;"",IF(A45+1&lt;=(Rates!$O$1-'ورود اطلاعات'!$E$6),A45+1,""),"")</f>
        <v/>
      </c>
      <c r="B46" s="17" t="str">
        <f>IF(C46&lt;=Rates!$O$1,B45+1,"")</f>
        <v/>
      </c>
      <c r="C46" s="17" t="str">
        <f>IF(C45&lt;Rates!$O$1,C45+1,"")</f>
        <v/>
      </c>
      <c r="D46" s="18">
        <f>IF(C46&lt;=Rates!$O$1,D45*(1+'ورود اطلاعات'!$E$8),0)</f>
        <v>0</v>
      </c>
      <c r="E46" s="18">
        <f>IF(C46&lt;=Rates!$O$1,INT(D46+E45),0)</f>
        <v>0</v>
      </c>
      <c r="F46" s="18">
        <f>IF(C46&lt;=Rates!$O$1,ROUND(F45*(1+'ورود اطلاعات'!$E$9),0),0)</f>
        <v>0</v>
      </c>
      <c r="G46" s="18">
        <f>IF(A46&lt;=5,IF(C46&lt;=Rates!$O$1,$D$3*5/100,0),0)</f>
        <v>0</v>
      </c>
      <c r="H46" s="18">
        <f>IF(A46&lt;=5,ROUND(F46*Rates!$O$9,0),0)</f>
        <v>0</v>
      </c>
      <c r="I46" s="18">
        <f>IF(C46&lt;=Rates!$O$1,D46*Rates!$O$10,0)</f>
        <v>0</v>
      </c>
      <c r="J46" s="18">
        <f>IF(C46&lt;=Rates!$O$1,F46*(VLOOKUP(C46,Rates!$A$1:$D$108,4,FALSE))/(1.1^0.5),0)</f>
        <v>0</v>
      </c>
      <c r="K46" s="18">
        <f>IF(C46&lt;=Rates!$O$1,D46-(G46+H46+I46+J46),0)</f>
        <v>0</v>
      </c>
      <c r="L46" s="18">
        <f>IF(C46&lt;=Rates!$O$1,(K46+L45)*(1+(IF(B46&lt;=2,Rates!$O$5,IF(B46&lt;=4,Rates!$O$6,Rates!$O$7)))),0)</f>
        <v>0</v>
      </c>
      <c r="M46" s="18">
        <f>IF(C46&lt;=Rates!$O$1,(B46*D46)+(D46*'ورود اطلاعات'!$E$19/12),0)</f>
        <v>0</v>
      </c>
      <c r="N46" s="18">
        <f>IF(C46&lt;=Rates!$O$1,K46*(1+IF(A46&lt;=2,Rates!$O$5,IF(A46&lt;=4,Rates!$O$6,Rates!$O$7))+(Rates!$O$8-IF(A46&lt;=2,Rates!$O$5,IF(A46&lt;=4,Rates!$O$6,Rates!$O$7)))*(VLOOKUP('ورود اطلاعات'!$E$20,Rates!$V$1:$Y$5,4,FALSE)))+N45*(1+IF(A46&lt;=2,Rates!$O$5,IF(A46&lt;=4,Rates!$O$6,Rates!$O$7))+(Rates!$O$8-IF(A46&lt;=2,Rates!$O$5,IF(A46&lt;=4,Rates!$O$6,Rates!$O$7)))),0)</f>
        <v>0</v>
      </c>
      <c r="O46" s="18">
        <f t="shared" si="1"/>
        <v>0</v>
      </c>
      <c r="P46" s="18">
        <f>IF(A46&lt;=7,VLOOKUP(A46,Rates!$K$1:$L$8,2,FALSE),1)*L46</f>
        <v>0</v>
      </c>
      <c r="Q46" s="18">
        <f>IF('ورود اطلاعات'!$E$16="بله",IF(C46&lt;=Rates!$O$4,D46*'ورود اطلاعات'!$H$16,0),0)</f>
        <v>0</v>
      </c>
      <c r="R46" s="18">
        <f>IF('ورود اطلاعات'!$E$15="بله",IF(C46&lt;=Rates!$O$3,'ورود اطلاعات'!$H$15*D46,0),0)</f>
        <v>0</v>
      </c>
      <c r="S46" s="18">
        <f>IF(AND(C46&gt;=0,C46&lt;=Rates!$O$2,F46&gt;0),MIN(S45*(1+'ورود اطلاعات'!$E$8),IF('ورود اطلاعات'!$H$22="معمولی", 300000000,5000000000)),0)</f>
        <v>0</v>
      </c>
      <c r="T46" s="18">
        <f>IF(AND(C46&lt;=Rates!$O$11,'ورود اطلاعات'!$E$16="بله"),'ورود اطلاعات'!$N$23*('Offline Table'!Q46),0)</f>
        <v>0</v>
      </c>
      <c r="U46" s="18">
        <f>IFERROR(IF(C46&lt;=Rates!$O$1,0.8/1000,0)*Q46*(1+VLOOKUP('ورود اطلاعات'!$E$25,Rates!$Q$1:$T$9,4,FALSE)/100),"")</f>
        <v>0</v>
      </c>
      <c r="V46" s="18">
        <f>IFERROR(IF(C46&lt;=Rates!$O$2,0.8/1000,0)*R46*(1+VLOOKUP('ورود اطلاعات'!$E$25,Rates!$Q$1:$T$9,4,FALSE)/100),"")</f>
        <v>0</v>
      </c>
      <c r="W46" s="18">
        <f>IF(AND(C46&lt;=Rates!$O$2,'ورود اطلاعات'!$H$22="معمولی"),VLOOKUP(C46,Rates!$A$1:$E$108,5,0),IF(AND(C46&lt;=Rates!$O$2,'ورود اطلاعات'!$H$22="پایه"),VLOOKUP(C46,Rates!$A$1:$F$108,6,0),IF(AND(C46&lt;=Rates!$O$2,'ورود اطلاعات'!$H$22="آسایش "),VLOOKUP(C46,Rates!$A$1:$G$108,7,0),IF(AND(C46&lt;=Rates!$O$2,'ورود اطلاعات'!$H$22="ممتاز"),VLOOKUP(C46,Rates!$A$1:$H$108,8,0),0))))*S46/1000000*(1+'ورود اطلاعات'!$E$22)</f>
        <v>0</v>
      </c>
      <c r="X46" s="18">
        <f>IFERROR(IF(C46&lt;=Rates!$O$11,0.8/1000*T46*(1+VLOOKUP('ورود اطلاعات'!$E$25,Rates!$Q$1:$T$9,4,FALSE)/100),0),"")</f>
        <v>0</v>
      </c>
      <c r="Y46" s="18">
        <f>(D46+U46+V46+W46+X46)*VLOOKUP('ورود اطلاعات'!$E$20,Rates!$V$1:$W$5,2,FALSE)</f>
        <v>0</v>
      </c>
      <c r="Z46" s="18">
        <f t="shared" si="0"/>
        <v>0</v>
      </c>
      <c r="AA46" s="18">
        <f>IFERROR(IF(C46&lt;=Rates!$O$1,VLOOKUP('ورود اطلاعات'!$E$20,Rates!$V$1:$X$5,3,FALSE),0),"")</f>
        <v>0</v>
      </c>
      <c r="AB46" s="18">
        <f>IFERROR(IF(C46&lt;=Rates!$O$1,(D46+Z46)/AA46,0),"")</f>
        <v>0</v>
      </c>
    </row>
    <row r="47" spans="1:28" x14ac:dyDescent="0.25">
      <c r="A47" s="17" t="str">
        <f>IF(A46&lt;&gt;"",IF(A46+1&lt;=(Rates!$O$1-'ورود اطلاعات'!$E$6),A46+1,""),"")</f>
        <v/>
      </c>
      <c r="B47" s="17" t="str">
        <f>IF(C47&lt;=Rates!$O$1,B46+1,"")</f>
        <v/>
      </c>
      <c r="C47" s="17" t="str">
        <f>IF(C46&lt;Rates!$O$1,C46+1,"")</f>
        <v/>
      </c>
      <c r="D47" s="18">
        <f>IF(C47&lt;=Rates!$O$1,D46*(1+'ورود اطلاعات'!$E$8),0)</f>
        <v>0</v>
      </c>
      <c r="E47" s="18">
        <f>IF(C47&lt;=Rates!$O$1,INT(D47+E46),0)</f>
        <v>0</v>
      </c>
      <c r="F47" s="18">
        <f>IF(C47&lt;=Rates!$O$1,ROUND(F46*(1+'ورود اطلاعات'!$E$9),0),0)</f>
        <v>0</v>
      </c>
      <c r="G47" s="18">
        <f>IF(A47&lt;=5,IF(C47&lt;=Rates!$O$1,$D$3*5/100,0),0)</f>
        <v>0</v>
      </c>
      <c r="H47" s="18">
        <f>IF(A47&lt;=5,ROUND(F47*Rates!$O$9,0),0)</f>
        <v>0</v>
      </c>
      <c r="I47" s="18">
        <f>IF(C47&lt;=Rates!$O$1,D47*Rates!$O$10,0)</f>
        <v>0</v>
      </c>
      <c r="J47" s="18">
        <f>IF(C47&lt;=Rates!$O$1,F47*(VLOOKUP(C47,Rates!$A$1:$D$108,4,FALSE))/(1.1^0.5),0)</f>
        <v>0</v>
      </c>
      <c r="K47" s="18">
        <f>IF(C47&lt;=Rates!$O$1,D47-(G47+H47+I47+J47),0)</f>
        <v>0</v>
      </c>
      <c r="L47" s="18">
        <f>IF(C47&lt;=Rates!$O$1,(K47+L46)*(1+(IF(B47&lt;=2,Rates!$O$5,IF(B47&lt;=4,Rates!$O$6,Rates!$O$7)))),0)</f>
        <v>0</v>
      </c>
      <c r="M47" s="18">
        <f>IF(C47&lt;=Rates!$O$1,(B47*D47)+(D47*'ورود اطلاعات'!$E$19/12),0)</f>
        <v>0</v>
      </c>
      <c r="N47" s="18">
        <f>IF(C47&lt;=Rates!$O$1,K47*(1+IF(A47&lt;=2,Rates!$O$5,IF(A47&lt;=4,Rates!$O$6,Rates!$O$7))+(Rates!$O$8-IF(A47&lt;=2,Rates!$O$5,IF(A47&lt;=4,Rates!$O$6,Rates!$O$7)))*(VLOOKUP('ورود اطلاعات'!$E$20,Rates!$V$1:$Y$5,4,FALSE)))+N46*(1+IF(A47&lt;=2,Rates!$O$5,IF(A47&lt;=4,Rates!$O$6,Rates!$O$7))+(Rates!$O$8-IF(A47&lt;=2,Rates!$O$5,IF(A47&lt;=4,Rates!$O$6,Rates!$O$7)))),0)</f>
        <v>0</v>
      </c>
      <c r="O47" s="18">
        <f t="shared" si="1"/>
        <v>0</v>
      </c>
      <c r="P47" s="18">
        <f>IF(A47&lt;=7,VLOOKUP(A47,Rates!$K$1:$L$8,2,FALSE),1)*L47</f>
        <v>0</v>
      </c>
      <c r="Q47" s="18">
        <f>IF('ورود اطلاعات'!$E$16="بله",IF(C47&lt;=Rates!$O$4,D47*'ورود اطلاعات'!$H$16,0),0)</f>
        <v>0</v>
      </c>
      <c r="R47" s="18">
        <f>IF('ورود اطلاعات'!$E$15="بله",IF(C47&lt;=Rates!$O$3,'ورود اطلاعات'!$H$15*D47,0),0)</f>
        <v>0</v>
      </c>
      <c r="S47" s="18">
        <f>IF(AND(C47&gt;=0,C47&lt;=Rates!$O$2,F47&gt;0),MIN(S46*(1+'ورود اطلاعات'!$E$8),IF('ورود اطلاعات'!$H$22="معمولی", 300000000,5000000000)),0)</f>
        <v>0</v>
      </c>
      <c r="T47" s="18">
        <f>IF(AND(C47&lt;=Rates!$O$11,'ورود اطلاعات'!$E$16="بله"),'ورود اطلاعات'!$N$23*('Offline Table'!Q47),0)</f>
        <v>0</v>
      </c>
      <c r="U47" s="18">
        <f>IFERROR(IF(C47&lt;=Rates!$O$1,0.8/1000,0)*Q47*(1+VLOOKUP('ورود اطلاعات'!$E$25,Rates!$Q$1:$T$9,4,FALSE)/100),"")</f>
        <v>0</v>
      </c>
      <c r="V47" s="18">
        <f>IFERROR(IF(C47&lt;=Rates!$O$2,0.8/1000,0)*R47*(1+VLOOKUP('ورود اطلاعات'!$E$25,Rates!$Q$1:$T$9,4,FALSE)/100),"")</f>
        <v>0</v>
      </c>
      <c r="W47" s="18">
        <f>IF(AND(C47&lt;=Rates!$O$2,'ورود اطلاعات'!$H$22="معمولی"),VLOOKUP(C47,Rates!$A$1:$E$108,5,0),IF(AND(C47&lt;=Rates!$O$2,'ورود اطلاعات'!$H$22="پایه"),VLOOKUP(C47,Rates!$A$1:$F$108,6,0),IF(AND(C47&lt;=Rates!$O$2,'ورود اطلاعات'!$H$22="آسایش "),VLOOKUP(C47,Rates!$A$1:$G$108,7,0),IF(AND(C47&lt;=Rates!$O$2,'ورود اطلاعات'!$H$22="ممتاز"),VLOOKUP(C47,Rates!$A$1:$H$108,8,0),0))))*S47/1000000*(1+'ورود اطلاعات'!$E$22)</f>
        <v>0</v>
      </c>
      <c r="X47" s="18">
        <f>IFERROR(IF(C47&lt;=Rates!$O$11,0.8/1000*T47*(1+VLOOKUP('ورود اطلاعات'!$E$25,Rates!$Q$1:$T$9,4,FALSE)/100),0),"")</f>
        <v>0</v>
      </c>
      <c r="Y47" s="18">
        <f>(D47+U47+V47+W47+X47)*VLOOKUP('ورود اطلاعات'!$E$20,Rates!$V$1:$W$5,2,FALSE)</f>
        <v>0</v>
      </c>
      <c r="Z47" s="18">
        <f t="shared" si="0"/>
        <v>0</v>
      </c>
      <c r="AA47" s="18">
        <f>IFERROR(IF(C47&lt;=Rates!$O$1,VLOOKUP('ورود اطلاعات'!$E$20,Rates!$V$1:$X$5,3,FALSE),0),"")</f>
        <v>0</v>
      </c>
      <c r="AB47" s="18">
        <f>IFERROR(IF(C47&lt;=Rates!$O$1,(D47+Z47)/AA47,0),"")</f>
        <v>0</v>
      </c>
    </row>
    <row r="48" spans="1:28" x14ac:dyDescent="0.25">
      <c r="A48" s="17" t="str">
        <f>IF(A47&lt;&gt;"",IF(A47+1&lt;=(Rates!$O$1-'ورود اطلاعات'!$E$6),A47+1,""),"")</f>
        <v/>
      </c>
      <c r="B48" s="17" t="str">
        <f>IF(C48&lt;=Rates!$O$1,B47+1,"")</f>
        <v/>
      </c>
      <c r="C48" s="17" t="str">
        <f>IF(C47&lt;Rates!$O$1,C47+1,"")</f>
        <v/>
      </c>
      <c r="D48" s="18">
        <f>IF(C48&lt;=Rates!$O$1,D47*(1+'ورود اطلاعات'!$E$8),0)</f>
        <v>0</v>
      </c>
      <c r="E48" s="18">
        <f>IF(C48&lt;=Rates!$O$1,INT(D48+E47),0)</f>
        <v>0</v>
      </c>
      <c r="F48" s="18">
        <f>IF(C48&lt;=Rates!$O$1,ROUND(F47*(1+'ورود اطلاعات'!$E$9),0),0)</f>
        <v>0</v>
      </c>
      <c r="G48" s="18">
        <f>IF(A48&lt;=5,IF(C48&lt;=Rates!$O$1,$D$3*5/100,0),0)</f>
        <v>0</v>
      </c>
      <c r="H48" s="18">
        <f>IF(A48&lt;=5,ROUND(F48*Rates!$O$9,0),0)</f>
        <v>0</v>
      </c>
      <c r="I48" s="18">
        <f>IF(C48&lt;=Rates!$O$1,D48*Rates!$O$10,0)</f>
        <v>0</v>
      </c>
      <c r="J48" s="18">
        <f>IF(C48&lt;=Rates!$O$1,F48*(VLOOKUP(C48,Rates!$A$1:$D$108,4,FALSE))/(1.1^0.5),0)</f>
        <v>0</v>
      </c>
      <c r="K48" s="18">
        <f>IF(C48&lt;=Rates!$O$1,D48-(G48+H48+I48+J48),0)</f>
        <v>0</v>
      </c>
      <c r="L48" s="18">
        <f>IF(C48&lt;=Rates!$O$1,(K48+L47)*(1+(IF(B48&lt;=2,Rates!$O$5,IF(B48&lt;=4,Rates!$O$6,Rates!$O$7)))),0)</f>
        <v>0</v>
      </c>
      <c r="M48" s="18">
        <f>IF(C48&lt;=Rates!$O$1,(B48*D48)+(D48*'ورود اطلاعات'!$E$19/12),0)</f>
        <v>0</v>
      </c>
      <c r="N48" s="18">
        <f>IF(C48&lt;=Rates!$O$1,K48*(1+IF(A48&lt;=2,Rates!$O$5,IF(A48&lt;=4,Rates!$O$6,Rates!$O$7))+(Rates!$O$8-IF(A48&lt;=2,Rates!$O$5,IF(A48&lt;=4,Rates!$O$6,Rates!$O$7)))*(VLOOKUP('ورود اطلاعات'!$E$20,Rates!$V$1:$Y$5,4,FALSE)))+N47*(1+IF(A48&lt;=2,Rates!$O$5,IF(A48&lt;=4,Rates!$O$6,Rates!$O$7))+(Rates!$O$8-IF(A48&lt;=2,Rates!$O$5,IF(A48&lt;=4,Rates!$O$6,Rates!$O$7)))),0)</f>
        <v>0</v>
      </c>
      <c r="O48" s="18">
        <f t="shared" si="1"/>
        <v>0</v>
      </c>
      <c r="P48" s="18">
        <f>IF(A48&lt;=7,VLOOKUP(A48,Rates!$K$1:$L$8,2,FALSE),1)*L48</f>
        <v>0</v>
      </c>
      <c r="Q48" s="18">
        <f>IF('ورود اطلاعات'!$E$16="بله",IF(C48&lt;=Rates!$O$4,D48*'ورود اطلاعات'!$H$16,0),0)</f>
        <v>0</v>
      </c>
      <c r="R48" s="18">
        <f>IF('ورود اطلاعات'!$E$15="بله",IF(C48&lt;=Rates!$O$3,'ورود اطلاعات'!$H$15*D48,0),0)</f>
        <v>0</v>
      </c>
      <c r="S48" s="18">
        <f>IF(AND(C48&gt;=0,C48&lt;=Rates!$O$2,F48&gt;0),MIN(S47*(1+'ورود اطلاعات'!$E$8),IF('ورود اطلاعات'!$H$22="معمولی", 300000000,5000000000)),0)</f>
        <v>0</v>
      </c>
      <c r="T48" s="18">
        <f>IF(AND(C48&lt;=Rates!$O$11,'ورود اطلاعات'!$E$16="بله"),'ورود اطلاعات'!$N$23*('Offline Table'!Q48),0)</f>
        <v>0</v>
      </c>
      <c r="U48" s="18">
        <f>IFERROR(IF(C48&lt;=Rates!$O$1,0.8/1000,0)*Q48*(1+VLOOKUP('ورود اطلاعات'!$E$25,Rates!$Q$1:$T$9,4,FALSE)/100),"")</f>
        <v>0</v>
      </c>
      <c r="V48" s="18">
        <f>IFERROR(IF(C48&lt;=Rates!$O$2,0.8/1000,0)*R48*(1+VLOOKUP('ورود اطلاعات'!$E$25,Rates!$Q$1:$T$9,4,FALSE)/100),"")</f>
        <v>0</v>
      </c>
      <c r="W48" s="18">
        <f>IF(AND(C48&lt;=Rates!$O$2,'ورود اطلاعات'!$H$22="معمولی"),VLOOKUP(C48,Rates!$A$1:$E$108,5,0),IF(AND(C48&lt;=Rates!$O$2,'ورود اطلاعات'!$H$22="پایه"),VLOOKUP(C48,Rates!$A$1:$F$108,6,0),IF(AND(C48&lt;=Rates!$O$2,'ورود اطلاعات'!$H$22="آسایش "),VLOOKUP(C48,Rates!$A$1:$G$108,7,0),IF(AND(C48&lt;=Rates!$O$2,'ورود اطلاعات'!$H$22="ممتاز"),VLOOKUP(C48,Rates!$A$1:$H$108,8,0),0))))*S48/1000000*(1+'ورود اطلاعات'!$E$22)</f>
        <v>0</v>
      </c>
      <c r="X48" s="18">
        <f>IFERROR(IF(C48&lt;=Rates!$O$11,0.8/1000*T48*(1+VLOOKUP('ورود اطلاعات'!$E$25,Rates!$Q$1:$T$9,4,FALSE)/100),0),"")</f>
        <v>0</v>
      </c>
      <c r="Y48" s="18">
        <f>(D48+U48+V48+W48+X48)*VLOOKUP('ورود اطلاعات'!$E$20,Rates!$V$1:$W$5,2,FALSE)</f>
        <v>0</v>
      </c>
      <c r="Z48" s="18">
        <f t="shared" si="0"/>
        <v>0</v>
      </c>
      <c r="AA48" s="18">
        <f>IFERROR(IF(C48&lt;=Rates!$O$1,VLOOKUP('ورود اطلاعات'!$E$20,Rates!$V$1:$X$5,3,FALSE),0),"")</f>
        <v>0</v>
      </c>
      <c r="AB48" s="18">
        <f>IFERROR(IF(C48&lt;=Rates!$O$1,(D48+Z48)/AA48,0),"")</f>
        <v>0</v>
      </c>
    </row>
    <row r="49" spans="1:28" x14ac:dyDescent="0.25">
      <c r="A49" s="17" t="str">
        <f>IF(A48&lt;&gt;"",IF(A48+1&lt;=(Rates!$O$1-'ورود اطلاعات'!$E$6),A48+1,""),"")</f>
        <v/>
      </c>
      <c r="B49" s="17" t="str">
        <f>IF(C49&lt;=Rates!$O$1,B48+1,"")</f>
        <v/>
      </c>
      <c r="C49" s="17" t="str">
        <f>IF(C48&lt;Rates!$O$1,C48+1,"")</f>
        <v/>
      </c>
      <c r="D49" s="18">
        <f>IF(C49&lt;=Rates!$O$1,D48*(1+'ورود اطلاعات'!$E$8),0)</f>
        <v>0</v>
      </c>
      <c r="E49" s="18">
        <f>IF(C49&lt;=Rates!$O$1,INT(D49+E48),0)</f>
        <v>0</v>
      </c>
      <c r="F49" s="18">
        <f>IF(C49&lt;=Rates!$O$1,ROUND(F48*(1+'ورود اطلاعات'!$E$9),0),0)</f>
        <v>0</v>
      </c>
      <c r="G49" s="18">
        <f>IF(A49&lt;=5,IF(C49&lt;=Rates!$O$1,$D$3*5/100,0),0)</f>
        <v>0</v>
      </c>
      <c r="H49" s="18">
        <f>IF(A49&lt;=5,ROUND(F49*Rates!$O$9,0),0)</f>
        <v>0</v>
      </c>
      <c r="I49" s="18">
        <f>IF(C49&lt;=Rates!$O$1,D49*Rates!$O$10,0)</f>
        <v>0</v>
      </c>
      <c r="J49" s="18">
        <f>IF(C49&lt;=Rates!$O$1,F49*(VLOOKUP(C49,Rates!$A$1:$D$108,4,FALSE))/(1.1^0.5),0)</f>
        <v>0</v>
      </c>
      <c r="K49" s="18">
        <f>IF(C49&lt;=Rates!$O$1,D49-(G49+H49+I49+J49),0)</f>
        <v>0</v>
      </c>
      <c r="L49" s="18">
        <f>IF(C49&lt;=Rates!$O$1,(K49+L48)*(1+(IF(B49&lt;=2,Rates!$O$5,IF(B49&lt;=4,Rates!$O$6,Rates!$O$7)))),0)</f>
        <v>0</v>
      </c>
      <c r="M49" s="18">
        <f>IF(C49&lt;=Rates!$O$1,(B49*D49)+(D49*'ورود اطلاعات'!$E$19/12),0)</f>
        <v>0</v>
      </c>
      <c r="N49" s="18">
        <f>IF(C49&lt;=Rates!$O$1,K49*(1+IF(A49&lt;=2,Rates!$O$5,IF(A49&lt;=4,Rates!$O$6,Rates!$O$7))+(Rates!$O$8-IF(A49&lt;=2,Rates!$O$5,IF(A49&lt;=4,Rates!$O$6,Rates!$O$7)))*(VLOOKUP('ورود اطلاعات'!$E$20,Rates!$V$1:$Y$5,4,FALSE)))+N48*(1+IF(A49&lt;=2,Rates!$O$5,IF(A49&lt;=4,Rates!$O$6,Rates!$O$7))+(Rates!$O$8-IF(A49&lt;=2,Rates!$O$5,IF(A49&lt;=4,Rates!$O$6,Rates!$O$7)))),0)</f>
        <v>0</v>
      </c>
      <c r="O49" s="18">
        <f t="shared" si="1"/>
        <v>0</v>
      </c>
      <c r="P49" s="18">
        <f>IF(A49&lt;=7,VLOOKUP(A49,Rates!$K$1:$L$8,2,FALSE),1)*L49</f>
        <v>0</v>
      </c>
      <c r="Q49" s="18">
        <f>IF('ورود اطلاعات'!$E$16="بله",IF(C49&lt;=Rates!$O$4,D49*'ورود اطلاعات'!$H$16,0),0)</f>
        <v>0</v>
      </c>
      <c r="R49" s="18">
        <f>IF('ورود اطلاعات'!$E$15="بله",IF(C49&lt;=Rates!$O$3,'ورود اطلاعات'!$H$15*D49,0),0)</f>
        <v>0</v>
      </c>
      <c r="S49" s="18">
        <f>IF(AND(C49&gt;=0,C49&lt;=Rates!$O$2,F49&gt;0),MIN(S48*(1+'ورود اطلاعات'!$E$8),IF('ورود اطلاعات'!$H$22="معمولی", 300000000,5000000000)),0)</f>
        <v>0</v>
      </c>
      <c r="T49" s="18">
        <f>IF(AND(C49&lt;=Rates!$O$11,'ورود اطلاعات'!$E$16="بله"),'ورود اطلاعات'!$N$23*('Offline Table'!Q49),0)</f>
        <v>0</v>
      </c>
      <c r="U49" s="18">
        <f>IFERROR(IF(C49&lt;=Rates!$O$1,0.8/1000,0)*Q49*(1+VLOOKUP('ورود اطلاعات'!$E$25,Rates!$Q$1:$T$9,4,FALSE)/100),"")</f>
        <v>0</v>
      </c>
      <c r="V49" s="18">
        <f>IFERROR(IF(C49&lt;=Rates!$O$2,0.8/1000,0)*R49*(1+VLOOKUP('ورود اطلاعات'!$E$25,Rates!$Q$1:$T$9,4,FALSE)/100),"")</f>
        <v>0</v>
      </c>
      <c r="W49" s="18">
        <f>IF(AND(C49&lt;=Rates!$O$2,'ورود اطلاعات'!$H$22="معمولی"),VLOOKUP(C49,Rates!$A$1:$E$108,5,0),IF(AND(C49&lt;=Rates!$O$2,'ورود اطلاعات'!$H$22="پایه"),VLOOKUP(C49,Rates!$A$1:$F$108,6,0),IF(AND(C49&lt;=Rates!$O$2,'ورود اطلاعات'!$H$22="آسایش "),VLOOKUP(C49,Rates!$A$1:$G$108,7,0),IF(AND(C49&lt;=Rates!$O$2,'ورود اطلاعات'!$H$22="ممتاز"),VLOOKUP(C49,Rates!$A$1:$H$108,8,0),0))))*S49/1000000*(1+'ورود اطلاعات'!$E$22)</f>
        <v>0</v>
      </c>
      <c r="X49" s="18">
        <f>IFERROR(IF(C49&lt;=Rates!$O$11,0.8/1000*T49*(1+VLOOKUP('ورود اطلاعات'!$E$25,Rates!$Q$1:$T$9,4,FALSE)/100),0),"")</f>
        <v>0</v>
      </c>
      <c r="Y49" s="18">
        <f>(D49+U49+V49+W49+X49)*VLOOKUP('ورود اطلاعات'!$E$20,Rates!$V$1:$W$5,2,FALSE)</f>
        <v>0</v>
      </c>
      <c r="Z49" s="18">
        <f t="shared" si="0"/>
        <v>0</v>
      </c>
      <c r="AA49" s="18">
        <f>IFERROR(IF(C49&lt;=Rates!$O$1,VLOOKUP('ورود اطلاعات'!$E$20,Rates!$V$1:$X$5,3,FALSE),0),"")</f>
        <v>0</v>
      </c>
      <c r="AB49" s="18">
        <f>IFERROR(IF(C49&lt;=Rates!$O$1,(D49+Z49)/AA49,0),"")</f>
        <v>0</v>
      </c>
    </row>
    <row r="50" spans="1:28" x14ac:dyDescent="0.25">
      <c r="A50" s="17" t="str">
        <f>IF(A49&lt;&gt;"",IF(A49+1&lt;=(Rates!$O$1-'ورود اطلاعات'!$E$6),A49+1,""),"")</f>
        <v/>
      </c>
      <c r="B50" s="17" t="str">
        <f>IF(C50&lt;=Rates!$O$1,B49+1,"")</f>
        <v/>
      </c>
      <c r="C50" s="17" t="str">
        <f>IF(C49&lt;Rates!$O$1,C49+1,"")</f>
        <v/>
      </c>
      <c r="D50" s="18">
        <f>IF(C50&lt;=Rates!$O$1,D49*(1+'ورود اطلاعات'!$E$8),0)</f>
        <v>0</v>
      </c>
      <c r="E50" s="18">
        <f>IF(C50&lt;=Rates!$O$1,INT(D50+E49),0)</f>
        <v>0</v>
      </c>
      <c r="F50" s="18">
        <f>IF(C50&lt;=Rates!$O$1,ROUND(F49*(1+'ورود اطلاعات'!$E$9),0),0)</f>
        <v>0</v>
      </c>
      <c r="G50" s="18">
        <f>IF(A50&lt;=5,IF(C50&lt;=Rates!$O$1,$D$3*5/100,0),0)</f>
        <v>0</v>
      </c>
      <c r="H50" s="18">
        <f>IF(A50&lt;=5,ROUND(F50*Rates!$O$9,0),0)</f>
        <v>0</v>
      </c>
      <c r="I50" s="18">
        <f>IF(C50&lt;=Rates!$O$1,D50*Rates!$O$10,0)</f>
        <v>0</v>
      </c>
      <c r="J50" s="18">
        <f>IF(C50&lt;=Rates!$O$1,F50*(VLOOKUP(C50,Rates!$A$1:$D$108,4,FALSE))/(1.1^0.5),0)</f>
        <v>0</v>
      </c>
      <c r="K50" s="18">
        <f>IF(C50&lt;=Rates!$O$1,D50-(G50+H50+I50+J50),0)</f>
        <v>0</v>
      </c>
      <c r="L50" s="18">
        <f>IF(C50&lt;=Rates!$O$1,(K50+L49)*(1+(IF(B50&lt;=2,Rates!$O$5,IF(B50&lt;=4,Rates!$O$6,Rates!$O$7)))),0)</f>
        <v>0</v>
      </c>
      <c r="M50" s="18">
        <f>IF(C50&lt;=Rates!$O$1,(B50*D50)+(D50*'ورود اطلاعات'!$E$19/12),0)</f>
        <v>0</v>
      </c>
      <c r="N50" s="18">
        <f>IF(C50&lt;=Rates!$O$1,K50*(1+IF(A50&lt;=2,Rates!$O$5,IF(A50&lt;=4,Rates!$O$6,Rates!$O$7))+(Rates!$O$8-IF(A50&lt;=2,Rates!$O$5,IF(A50&lt;=4,Rates!$O$6,Rates!$O$7)))*(VLOOKUP('ورود اطلاعات'!$E$20,Rates!$V$1:$Y$5,4,FALSE)))+N49*(1+IF(A50&lt;=2,Rates!$O$5,IF(A50&lt;=4,Rates!$O$6,Rates!$O$7))+(Rates!$O$8-IF(A50&lt;=2,Rates!$O$5,IF(A50&lt;=4,Rates!$O$6,Rates!$O$7)))),0)</f>
        <v>0</v>
      </c>
      <c r="O50" s="18">
        <f t="shared" si="1"/>
        <v>0</v>
      </c>
      <c r="P50" s="18">
        <f>IF(A50&lt;=7,VLOOKUP(A50,Rates!$K$1:$L$8,2,FALSE),1)*L50</f>
        <v>0</v>
      </c>
      <c r="Q50" s="18">
        <f>IF('ورود اطلاعات'!$E$16="بله",IF(C50&lt;=Rates!$O$4,D50*'ورود اطلاعات'!$H$16,0),0)</f>
        <v>0</v>
      </c>
      <c r="R50" s="18">
        <f>IF('ورود اطلاعات'!$E$15="بله",IF(C50&lt;=Rates!$O$3,'ورود اطلاعات'!$H$15*D50,0),0)</f>
        <v>0</v>
      </c>
      <c r="S50" s="18">
        <f>IF(AND(C50&gt;=0,C50&lt;=Rates!$O$2,F50&gt;0),MIN(S49*(1+'ورود اطلاعات'!$E$8),IF('ورود اطلاعات'!$H$22="معمولی", 300000000,5000000000)),0)</f>
        <v>0</v>
      </c>
      <c r="T50" s="18">
        <f>IF(AND(C50&lt;=Rates!$O$11,'ورود اطلاعات'!$E$16="بله"),'ورود اطلاعات'!$N$23*('Offline Table'!Q50),0)</f>
        <v>0</v>
      </c>
      <c r="U50" s="18">
        <f>IFERROR(IF(C50&lt;=Rates!$O$1,0.8/1000,0)*Q50*(1+VLOOKUP('ورود اطلاعات'!$E$25,Rates!$Q$1:$T$9,4,FALSE)/100),"")</f>
        <v>0</v>
      </c>
      <c r="V50" s="18">
        <f>IFERROR(IF(C50&lt;=Rates!$O$2,0.8/1000,0)*R50*(1+VLOOKUP('ورود اطلاعات'!$E$25,Rates!$Q$1:$T$9,4,FALSE)/100),"")</f>
        <v>0</v>
      </c>
      <c r="W50" s="18">
        <f>IF(AND(C50&lt;=Rates!$O$2,'ورود اطلاعات'!$H$22="معمولی"),VLOOKUP(C50,Rates!$A$1:$E$108,5,0),IF(AND(C50&lt;=Rates!$O$2,'ورود اطلاعات'!$H$22="پایه"),VLOOKUP(C50,Rates!$A$1:$F$108,6,0),IF(AND(C50&lt;=Rates!$O$2,'ورود اطلاعات'!$H$22="آسایش "),VLOOKUP(C50,Rates!$A$1:$G$108,7,0),IF(AND(C50&lt;=Rates!$O$2,'ورود اطلاعات'!$H$22="ممتاز"),VLOOKUP(C50,Rates!$A$1:$H$108,8,0),0))))*S50/1000000*(1+'ورود اطلاعات'!$E$22)</f>
        <v>0</v>
      </c>
      <c r="X50" s="18">
        <f>IFERROR(IF(C50&lt;=Rates!$O$11,0.8/1000*T50*(1+VLOOKUP('ورود اطلاعات'!$E$25,Rates!$Q$1:$T$9,4,FALSE)/100),0),"")</f>
        <v>0</v>
      </c>
      <c r="Y50" s="18">
        <f>(D50+U50+V50+W50+X50)*VLOOKUP('ورود اطلاعات'!$E$20,Rates!$V$1:$W$5,2,FALSE)</f>
        <v>0</v>
      </c>
      <c r="Z50" s="18">
        <f t="shared" si="0"/>
        <v>0</v>
      </c>
      <c r="AA50" s="18">
        <f>IFERROR(IF(C50&lt;=Rates!$O$1,VLOOKUP('ورود اطلاعات'!$E$20,Rates!$V$1:$X$5,3,FALSE),0),"")</f>
        <v>0</v>
      </c>
      <c r="AB50" s="18">
        <f>IFERROR(IF(C50&lt;=Rates!$O$1,(D50+Z50)/AA50,0),"")</f>
        <v>0</v>
      </c>
    </row>
    <row r="51" spans="1:28" x14ac:dyDescent="0.25">
      <c r="A51" s="17" t="str">
        <f>IF(A50&lt;&gt;"",IF(A50+1&lt;=(Rates!$O$1-'ورود اطلاعات'!$E$6),A50+1,""),"")</f>
        <v/>
      </c>
      <c r="B51" s="17" t="str">
        <f>IF(C51&lt;=Rates!$O$1,B50+1,"")</f>
        <v/>
      </c>
      <c r="C51" s="17" t="str">
        <f>IF(C50&lt;Rates!$O$1,C50+1,"")</f>
        <v/>
      </c>
      <c r="D51" s="18">
        <f>IF(C51&lt;=Rates!$O$1,D50*(1+'ورود اطلاعات'!$E$8),0)</f>
        <v>0</v>
      </c>
      <c r="E51" s="18">
        <f>IF(C51&lt;=Rates!$O$1,INT(D51+E50),0)</f>
        <v>0</v>
      </c>
      <c r="F51" s="18">
        <f>IF(C51&lt;=Rates!$O$1,ROUND(F50*(1+'ورود اطلاعات'!$E$9),0),0)</f>
        <v>0</v>
      </c>
      <c r="G51" s="18">
        <f>IF(A51&lt;=5,IF(C51&lt;=Rates!$O$1,$D$3*5/100,0),0)</f>
        <v>0</v>
      </c>
      <c r="H51" s="18">
        <f>IF(A51&lt;=5,ROUND(F51*Rates!$O$9,0),0)</f>
        <v>0</v>
      </c>
      <c r="I51" s="18">
        <f>IF(C51&lt;=Rates!$O$1,D51*Rates!$O$10,0)</f>
        <v>0</v>
      </c>
      <c r="J51" s="18">
        <f>IF(C51&lt;=Rates!$O$1,F51*(VLOOKUP(C51,Rates!$A$1:$D$108,4,FALSE))/(1.1^0.5),0)</f>
        <v>0</v>
      </c>
      <c r="K51" s="18">
        <f>IF(C51&lt;=Rates!$O$1,D51-(G51+H51+I51+J51),0)</f>
        <v>0</v>
      </c>
      <c r="L51" s="18">
        <f>IF(C51&lt;=Rates!$O$1,(K51+L50)*(1+(IF(B51&lt;=2,Rates!$O$5,IF(B51&lt;=4,Rates!$O$6,Rates!$O$7)))),0)</f>
        <v>0</v>
      </c>
      <c r="M51" s="18">
        <f>IF(C51&lt;=Rates!$O$1,(B51*D51)+(D51*'ورود اطلاعات'!$E$19/12),0)</f>
        <v>0</v>
      </c>
      <c r="N51" s="18">
        <f>IF(C51&lt;=Rates!$O$1,K51*(1+IF(A51&lt;=2,Rates!$O$5,IF(A51&lt;=4,Rates!$O$6,Rates!$O$7))+(Rates!$O$8-IF(A51&lt;=2,Rates!$O$5,IF(A51&lt;=4,Rates!$O$6,Rates!$O$7)))*(VLOOKUP('ورود اطلاعات'!$E$20,Rates!$V$1:$Y$5,4,FALSE)))+N50*(1+IF(A51&lt;=2,Rates!$O$5,IF(A51&lt;=4,Rates!$O$6,Rates!$O$7))+(Rates!$O$8-IF(A51&lt;=2,Rates!$O$5,IF(A51&lt;=4,Rates!$O$6,Rates!$O$7)))),0)</f>
        <v>0</v>
      </c>
      <c r="O51" s="18">
        <f t="shared" si="1"/>
        <v>0</v>
      </c>
      <c r="P51" s="18">
        <f>IF(A51&lt;=7,VLOOKUP(A51,Rates!$K$1:$L$8,2,FALSE),1)*L51</f>
        <v>0</v>
      </c>
      <c r="Q51" s="18">
        <f>IF('ورود اطلاعات'!$E$16="بله",IF(C51&lt;=Rates!$O$4,D51*'ورود اطلاعات'!$H$16,0),0)</f>
        <v>0</v>
      </c>
      <c r="R51" s="18">
        <f>IF('ورود اطلاعات'!$E$15="بله",IF(C51&lt;=Rates!$O$3,'ورود اطلاعات'!$H$15*D51,0),0)</f>
        <v>0</v>
      </c>
      <c r="S51" s="18">
        <f>IF(AND(C51&gt;=0,C51&lt;=Rates!$O$2,F51&gt;0),MIN(S50*(1+'ورود اطلاعات'!$E$8),IF('ورود اطلاعات'!$H$22="معمولی", 300000000,5000000000)),0)</f>
        <v>0</v>
      </c>
      <c r="T51" s="18">
        <f>IF(AND(C51&lt;=Rates!$O$11,'ورود اطلاعات'!$E$16="بله"),'ورود اطلاعات'!$N$23*('Offline Table'!Q51),0)</f>
        <v>0</v>
      </c>
      <c r="U51" s="18">
        <f>IFERROR(IF(C51&lt;=Rates!$O$1,0.8/1000,0)*Q51*(1+VLOOKUP('ورود اطلاعات'!$E$25,Rates!$Q$1:$T$9,4,FALSE)/100),"")</f>
        <v>0</v>
      </c>
      <c r="V51" s="18">
        <f>IFERROR(IF(C51&lt;=Rates!$O$2,0.8/1000,0)*R51*(1+VLOOKUP('ورود اطلاعات'!$E$25,Rates!$Q$1:$T$9,4,FALSE)/100),"")</f>
        <v>0</v>
      </c>
      <c r="W51" s="18">
        <f>IF(AND(C51&lt;=Rates!$O$2,'ورود اطلاعات'!$H$22="معمولی"),VLOOKUP(C51,Rates!$A$1:$E$108,5,0),IF(AND(C51&lt;=Rates!$O$2,'ورود اطلاعات'!$H$22="پایه"),VLOOKUP(C51,Rates!$A$1:$F$108,6,0),IF(AND(C51&lt;=Rates!$O$2,'ورود اطلاعات'!$H$22="آسایش "),VLOOKUP(C51,Rates!$A$1:$G$108,7,0),IF(AND(C51&lt;=Rates!$O$2,'ورود اطلاعات'!$H$22="ممتاز"),VLOOKUP(C51,Rates!$A$1:$H$108,8,0),0))))*S51/1000000*(1+'ورود اطلاعات'!$E$22)</f>
        <v>0</v>
      </c>
      <c r="X51" s="18">
        <f>IFERROR(IF(C51&lt;=Rates!$O$11,0.8/1000*T51*(1+VLOOKUP('ورود اطلاعات'!$E$25,Rates!$Q$1:$T$9,4,FALSE)/100),0),"")</f>
        <v>0</v>
      </c>
      <c r="Y51" s="18">
        <f>(D51+U51+V51+W51+X51)*VLOOKUP('ورود اطلاعات'!$E$20,Rates!$V$1:$W$5,2,FALSE)</f>
        <v>0</v>
      </c>
      <c r="Z51" s="18">
        <f t="shared" si="0"/>
        <v>0</v>
      </c>
      <c r="AA51" s="18">
        <f>IFERROR(IF(C51&lt;=Rates!$O$1,VLOOKUP('ورود اطلاعات'!$E$20,Rates!$V$1:$X$5,3,FALSE),0),"")</f>
        <v>0</v>
      </c>
      <c r="AB51" s="18">
        <f>IFERROR(IF(C51&lt;=Rates!$O$1,(D51+Z51)/AA51,0),"")</f>
        <v>0</v>
      </c>
    </row>
    <row r="52" spans="1:28" x14ac:dyDescent="0.25">
      <c r="A52" s="17" t="str">
        <f>IF(A51&lt;&gt;"",IF(A51+1&lt;=(Rates!$O$1-'ورود اطلاعات'!$E$6),A51+1,""),"")</f>
        <v/>
      </c>
      <c r="B52" s="17" t="str">
        <f>IF(C52&lt;=Rates!$O$1,B51+1,"")</f>
        <v/>
      </c>
      <c r="C52" s="17" t="str">
        <f>IF(C51&lt;Rates!$O$1,C51+1,"")</f>
        <v/>
      </c>
      <c r="D52" s="18">
        <f>IF(C52&lt;=Rates!$O$1,D51*(1+'ورود اطلاعات'!$E$8),0)</f>
        <v>0</v>
      </c>
      <c r="E52" s="18">
        <f>IF(C52&lt;=Rates!$O$1,INT(D52+E51),0)</f>
        <v>0</v>
      </c>
      <c r="F52" s="18">
        <f>IF(C52&lt;=Rates!$O$1,ROUND(F51*(1+'ورود اطلاعات'!$E$9),0),0)</f>
        <v>0</v>
      </c>
      <c r="G52" s="18">
        <f>IF(A52&lt;=5,IF(C52&lt;=Rates!$O$1,$D$3*5/100,0),0)</f>
        <v>0</v>
      </c>
      <c r="H52" s="18">
        <f>IF(A52&lt;=5,ROUND(F52*Rates!$O$9,0),0)</f>
        <v>0</v>
      </c>
      <c r="I52" s="18">
        <f>IF(C52&lt;=Rates!$O$1,D52*Rates!$O$10,0)</f>
        <v>0</v>
      </c>
      <c r="J52" s="18">
        <f>IF(C52&lt;=Rates!$O$1,F52*(VLOOKUP(C52,Rates!$A$1:$D$108,4,FALSE))/(1.1^0.5),0)</f>
        <v>0</v>
      </c>
      <c r="K52" s="18">
        <f>IF(C52&lt;=Rates!$O$1,D52-(G52+H52+I52+J52),0)</f>
        <v>0</v>
      </c>
      <c r="L52" s="18">
        <f>IF(C52&lt;=Rates!$O$1,(K52+L51)*(1+(IF(B52&lt;=2,Rates!$O$5,IF(B52&lt;=4,Rates!$O$6,Rates!$O$7)))),0)</f>
        <v>0</v>
      </c>
      <c r="M52" s="18">
        <f>IF(C52&lt;=Rates!$O$1,(B52*D52)+(D52*'ورود اطلاعات'!$E$19/12),0)</f>
        <v>0</v>
      </c>
      <c r="N52" s="18">
        <f>IF(C52&lt;=Rates!$O$1,K52*(1+IF(A52&lt;=2,Rates!$O$5,IF(A52&lt;=4,Rates!$O$6,Rates!$O$7))+(Rates!$O$8-IF(A52&lt;=2,Rates!$O$5,IF(A52&lt;=4,Rates!$O$6,Rates!$O$7)))*(VLOOKUP('ورود اطلاعات'!$E$20,Rates!$V$1:$Y$5,4,FALSE)))+N51*(1+IF(A52&lt;=2,Rates!$O$5,IF(A52&lt;=4,Rates!$O$6,Rates!$O$7))+(Rates!$O$8-IF(A52&lt;=2,Rates!$O$5,IF(A52&lt;=4,Rates!$O$6,Rates!$O$7)))),0)</f>
        <v>0</v>
      </c>
      <c r="O52" s="18">
        <f t="shared" si="1"/>
        <v>0</v>
      </c>
      <c r="P52" s="18">
        <f>IF(A52&lt;=7,VLOOKUP(A52,Rates!$K$1:$L$8,2,FALSE),1)*L52</f>
        <v>0</v>
      </c>
      <c r="Q52" s="18">
        <f>IF('ورود اطلاعات'!$E$16="بله",IF(C52&lt;=Rates!$O$4,D52*'ورود اطلاعات'!$H$16,0),0)</f>
        <v>0</v>
      </c>
      <c r="R52" s="18">
        <f>IF('ورود اطلاعات'!$E$15="بله",IF(C52&lt;=Rates!$O$3,'ورود اطلاعات'!$H$15*D52,0),0)</f>
        <v>0</v>
      </c>
      <c r="S52" s="18">
        <f>IF(AND(C52&gt;=0,C52&lt;=Rates!$O$2,F52&gt;0),MIN(S51*(1+'ورود اطلاعات'!$E$8),IF('ورود اطلاعات'!$H$22="معمولی", 300000000,5000000000)),0)</f>
        <v>0</v>
      </c>
      <c r="T52" s="18">
        <f>IF(AND(C52&lt;=Rates!$O$11,'ورود اطلاعات'!$E$16="بله"),'ورود اطلاعات'!$N$23*('Offline Table'!Q52),0)</f>
        <v>0</v>
      </c>
      <c r="U52" s="18">
        <f>IFERROR(IF(C52&lt;=Rates!$O$1,0.8/1000,0)*Q52*(1+VLOOKUP('ورود اطلاعات'!$E$25,Rates!$Q$1:$T$9,4,FALSE)/100),"")</f>
        <v>0</v>
      </c>
      <c r="V52" s="18">
        <f>IFERROR(IF(C52&lt;=Rates!$O$2,0.8/1000,0)*R52*(1+VLOOKUP('ورود اطلاعات'!$E$25,Rates!$Q$1:$T$9,4,FALSE)/100),"")</f>
        <v>0</v>
      </c>
      <c r="W52" s="18">
        <f>IF(AND(C52&lt;=Rates!$O$2,'ورود اطلاعات'!$H$22="معمولی"),VLOOKUP(C52,Rates!$A$1:$E$108,5,0),IF(AND(C52&lt;=Rates!$O$2,'ورود اطلاعات'!$H$22="پایه"),VLOOKUP(C52,Rates!$A$1:$F$108,6,0),IF(AND(C52&lt;=Rates!$O$2,'ورود اطلاعات'!$H$22="آسایش "),VLOOKUP(C52,Rates!$A$1:$G$108,7,0),IF(AND(C52&lt;=Rates!$O$2,'ورود اطلاعات'!$H$22="ممتاز"),VLOOKUP(C52,Rates!$A$1:$H$108,8,0),0))))*S52/1000000*(1+'ورود اطلاعات'!$E$22)</f>
        <v>0</v>
      </c>
      <c r="X52" s="18">
        <f>IFERROR(IF(C52&lt;=Rates!$O$11,0.8/1000*T52*(1+VLOOKUP('ورود اطلاعات'!$E$25,Rates!$Q$1:$T$9,4,FALSE)/100),0),"")</f>
        <v>0</v>
      </c>
      <c r="Y52" s="18">
        <f>(D52+U52+V52+W52+X52)*VLOOKUP('ورود اطلاعات'!$E$20,Rates!$V$1:$W$5,2,FALSE)</f>
        <v>0</v>
      </c>
      <c r="Z52" s="18">
        <f t="shared" si="0"/>
        <v>0</v>
      </c>
      <c r="AA52" s="18">
        <f>IFERROR(IF(C52&lt;=Rates!$O$1,VLOOKUP('ورود اطلاعات'!$E$20,Rates!$V$1:$X$5,3,FALSE),0),"")</f>
        <v>0</v>
      </c>
      <c r="AB52" s="18">
        <f>IFERROR(IF(C52&lt;=Rates!$O$1,(D52+Z52)/AA52,0),"")</f>
        <v>0</v>
      </c>
    </row>
    <row r="53" spans="1:28" x14ac:dyDescent="0.25">
      <c r="A53" s="17" t="str">
        <f>IF(A52&lt;&gt;"",IF(A52+1&lt;=(Rates!$O$1-'ورود اطلاعات'!$E$6),A52+1,""),"")</f>
        <v/>
      </c>
      <c r="B53" s="17" t="str">
        <f>IF(C53&lt;=Rates!$O$1,B52+1,"")</f>
        <v/>
      </c>
      <c r="C53" s="17" t="str">
        <f>IF(C52&lt;Rates!$O$1,C52+1,"")</f>
        <v/>
      </c>
      <c r="D53" s="18">
        <f>IF(C53&lt;=Rates!$O$1,D52*(1+'ورود اطلاعات'!$E$8),0)</f>
        <v>0</v>
      </c>
      <c r="E53" s="18">
        <f>IF(C53&lt;=Rates!$O$1,INT(D53+E52),0)</f>
        <v>0</v>
      </c>
      <c r="F53" s="18">
        <f>IF(C53&lt;=Rates!$O$1,ROUND(F52*(1+'ورود اطلاعات'!$E$9),0),0)</f>
        <v>0</v>
      </c>
      <c r="G53" s="18">
        <f>IF(A53&lt;=5,IF(C53&lt;=Rates!$O$1,$D$3*5/100,0),0)</f>
        <v>0</v>
      </c>
      <c r="H53" s="18">
        <f>IF(A53&lt;=5,ROUND(F53*Rates!$O$9,0),0)</f>
        <v>0</v>
      </c>
      <c r="I53" s="18">
        <f>IF(C53&lt;=Rates!$O$1,D53*Rates!$O$10,0)</f>
        <v>0</v>
      </c>
      <c r="J53" s="18">
        <f>IF(C53&lt;=Rates!$O$1,F53*(VLOOKUP(C53,Rates!$A$1:$D$108,4,FALSE))/(1.1^0.5),0)</f>
        <v>0</v>
      </c>
      <c r="K53" s="18">
        <f>IF(C53&lt;=Rates!$O$1,D53-(G53+H53+I53+J53),0)</f>
        <v>0</v>
      </c>
      <c r="L53" s="18">
        <f>IF(C53&lt;=Rates!$O$1,(K53+L52)*(1+(IF(B53&lt;=2,Rates!$O$5,IF(B53&lt;=4,Rates!$O$6,Rates!$O$7)))),0)</f>
        <v>0</v>
      </c>
      <c r="M53" s="18">
        <f>IF(C53&lt;=Rates!$O$1,(B53*D53)+(D53*'ورود اطلاعات'!$E$19/12),0)</f>
        <v>0</v>
      </c>
      <c r="N53" s="18">
        <f>IF(C53&lt;=Rates!$O$1,K53*(1+IF(A53&lt;=2,Rates!$O$5,IF(A53&lt;=4,Rates!$O$6,Rates!$O$7))+(Rates!$O$8-IF(A53&lt;=2,Rates!$O$5,IF(A53&lt;=4,Rates!$O$6,Rates!$O$7)))*(VLOOKUP('ورود اطلاعات'!$E$20,Rates!$V$1:$Y$5,4,FALSE)))+N52*(1+IF(A53&lt;=2,Rates!$O$5,IF(A53&lt;=4,Rates!$O$6,Rates!$O$7))+(Rates!$O$8-IF(A53&lt;=2,Rates!$O$5,IF(A53&lt;=4,Rates!$O$6,Rates!$O$7)))),0)</f>
        <v>0</v>
      </c>
      <c r="O53" s="18">
        <f t="shared" si="1"/>
        <v>0</v>
      </c>
      <c r="P53" s="18">
        <f>IF(A53&lt;=7,VLOOKUP(A53,Rates!$K$1:$L$8,2,FALSE),1)*L53</f>
        <v>0</v>
      </c>
      <c r="Q53" s="18">
        <f>IF('ورود اطلاعات'!$E$16="بله",IF(C53&lt;=Rates!$O$4,D53*'ورود اطلاعات'!$H$16,0),0)</f>
        <v>0</v>
      </c>
      <c r="R53" s="18">
        <f>IF('ورود اطلاعات'!$E$15="بله",IF(C53&lt;=Rates!$O$3,'ورود اطلاعات'!$H$15*D53,0),0)</f>
        <v>0</v>
      </c>
      <c r="S53" s="18">
        <f>IF(AND(C53&gt;=0,C53&lt;=Rates!$O$2,F53&gt;0),MIN(S52*(1+'ورود اطلاعات'!$E$8),IF('ورود اطلاعات'!$H$22="معمولی", 300000000,5000000000)),0)</f>
        <v>0</v>
      </c>
      <c r="T53" s="18">
        <f>IF(AND(C53&lt;=Rates!$O$11,'ورود اطلاعات'!$E$16="بله"),'ورود اطلاعات'!$N$23*('Offline Table'!Q53),0)</f>
        <v>0</v>
      </c>
      <c r="U53" s="18">
        <f>IFERROR(IF(C53&lt;=Rates!$O$1,0.8/1000,0)*Q53*(1+VLOOKUP('ورود اطلاعات'!$E$25,Rates!$Q$1:$T$9,4,FALSE)/100),"")</f>
        <v>0</v>
      </c>
      <c r="V53" s="18">
        <f>IFERROR(IF(C53&lt;=Rates!$O$2,0.8/1000,0)*R53*(1+VLOOKUP('ورود اطلاعات'!$E$25,Rates!$Q$1:$T$9,4,FALSE)/100),"")</f>
        <v>0</v>
      </c>
      <c r="W53" s="18">
        <f>IF(AND(C53&lt;=Rates!$O$2,'ورود اطلاعات'!$H$22="معمولی"),VLOOKUP(C53,Rates!$A$1:$E$108,5,0),IF(AND(C53&lt;=Rates!$O$2,'ورود اطلاعات'!$H$22="پایه"),VLOOKUP(C53,Rates!$A$1:$F$108,6,0),IF(AND(C53&lt;=Rates!$O$2,'ورود اطلاعات'!$H$22="آسایش "),VLOOKUP(C53,Rates!$A$1:$G$108,7,0),IF(AND(C53&lt;=Rates!$O$2,'ورود اطلاعات'!$H$22="ممتاز"),VLOOKUP(C53,Rates!$A$1:$H$108,8,0),0))))*S53/1000000*(1+'ورود اطلاعات'!$E$22)</f>
        <v>0</v>
      </c>
      <c r="X53" s="18">
        <f>IFERROR(IF(C53&lt;=Rates!$O$11,0.8/1000*T53*(1+VLOOKUP('ورود اطلاعات'!$E$25,Rates!$Q$1:$T$9,4,FALSE)/100),0),"")</f>
        <v>0</v>
      </c>
      <c r="Y53" s="18">
        <f>(D53+U53+V53+W53+X53)*VLOOKUP('ورود اطلاعات'!$E$20,Rates!$V$1:$W$5,2,FALSE)</f>
        <v>0</v>
      </c>
      <c r="Z53" s="18">
        <f t="shared" si="0"/>
        <v>0</v>
      </c>
      <c r="AA53" s="18">
        <f>IFERROR(IF(C53&lt;=Rates!$O$1,VLOOKUP('ورود اطلاعات'!$E$20,Rates!$V$1:$X$5,3,FALSE),0),"")</f>
        <v>0</v>
      </c>
      <c r="AB53" s="18">
        <f>IFERROR(IF(C53&lt;=Rates!$O$1,(D53+Z53)/AA53,0),"")</f>
        <v>0</v>
      </c>
    </row>
    <row r="54" spans="1:28" x14ac:dyDescent="0.25">
      <c r="A54" s="17" t="str">
        <f>IF(A53&lt;&gt;"",IF(A53+1&lt;=(Rates!$O$1-'ورود اطلاعات'!$E$6),A53+1,""),"")</f>
        <v/>
      </c>
      <c r="B54" s="17" t="str">
        <f>IF(C54&lt;=Rates!$O$1,B53+1,"")</f>
        <v/>
      </c>
      <c r="C54" s="17" t="str">
        <f>IF(C53&lt;Rates!$O$1,C53+1,"")</f>
        <v/>
      </c>
      <c r="D54" s="18">
        <f>IF(C54&lt;=Rates!$O$1,D53*(1+'ورود اطلاعات'!$E$8),0)</f>
        <v>0</v>
      </c>
      <c r="E54" s="18">
        <f>IF(C54&lt;=Rates!$O$1,INT(D54+E53),0)</f>
        <v>0</v>
      </c>
      <c r="F54" s="18">
        <f>IF(C54&lt;=Rates!$O$1,ROUND(F53*(1+'ورود اطلاعات'!$E$9),0),0)</f>
        <v>0</v>
      </c>
      <c r="G54" s="18">
        <f>IF(A54&lt;=5,IF(C54&lt;=Rates!$O$1,$D$3*5/100,0),0)</f>
        <v>0</v>
      </c>
      <c r="H54" s="18">
        <f>IF(A54&lt;=5,ROUND(F54*Rates!$O$9,0),0)</f>
        <v>0</v>
      </c>
      <c r="I54" s="18">
        <f>IF(C54&lt;=Rates!$O$1,D54*Rates!$O$10,0)</f>
        <v>0</v>
      </c>
      <c r="J54" s="18">
        <f>IF(C54&lt;=Rates!$O$1,F54*(VLOOKUP(C54,Rates!$A$1:$D$108,4,FALSE))/(1.1^0.5),0)</f>
        <v>0</v>
      </c>
      <c r="K54" s="18">
        <f>IF(C54&lt;=Rates!$O$1,D54-(G54+H54+I54+J54),0)</f>
        <v>0</v>
      </c>
      <c r="L54" s="18">
        <f>IF(C54&lt;=Rates!$O$1,(K54+L53)*(1+(IF(B54&lt;=2,Rates!$O$5,IF(B54&lt;=4,Rates!$O$6,Rates!$O$7)))),0)</f>
        <v>0</v>
      </c>
      <c r="M54" s="18">
        <f>IF(C54&lt;=Rates!$O$1,(B54*D54)+(D54*'ورود اطلاعات'!$E$19/12),0)</f>
        <v>0</v>
      </c>
      <c r="N54" s="18">
        <f>IF(C54&lt;=Rates!$O$1,K54*(1+IF(A54&lt;=2,Rates!$O$5,IF(A54&lt;=4,Rates!$O$6,Rates!$O$7))+(Rates!$O$8-IF(A54&lt;=2,Rates!$O$5,IF(A54&lt;=4,Rates!$O$6,Rates!$O$7)))*(VLOOKUP('ورود اطلاعات'!$E$20,Rates!$V$1:$Y$5,4,FALSE)))+N53*(1+IF(A54&lt;=2,Rates!$O$5,IF(A54&lt;=4,Rates!$O$6,Rates!$O$7))+(Rates!$O$8-IF(A54&lt;=2,Rates!$O$5,IF(A54&lt;=4,Rates!$O$6,Rates!$O$7)))),0)</f>
        <v>0</v>
      </c>
      <c r="O54" s="18">
        <f t="shared" si="1"/>
        <v>0</v>
      </c>
      <c r="P54" s="18">
        <f>IF(A54&lt;=7,VLOOKUP(A54,Rates!$K$1:$L$8,2,FALSE),1)*L54</f>
        <v>0</v>
      </c>
      <c r="Q54" s="18">
        <f>IF('ورود اطلاعات'!$E$16="بله",IF(C54&lt;=Rates!$O$4,D54*'ورود اطلاعات'!$H$16,0),0)</f>
        <v>0</v>
      </c>
      <c r="R54" s="18">
        <f>IF('ورود اطلاعات'!$E$15="بله",IF(C54&lt;=Rates!$O$3,'ورود اطلاعات'!$H$15*D54,0),0)</f>
        <v>0</v>
      </c>
      <c r="S54" s="18">
        <f>IF(AND(C54&gt;=0,C54&lt;=Rates!$O$2,F54&gt;0),MIN(S53*(1+'ورود اطلاعات'!$E$8),IF('ورود اطلاعات'!$H$22="معمولی", 300000000,5000000000)),0)</f>
        <v>0</v>
      </c>
      <c r="T54" s="18">
        <f>IF(AND(C54&lt;=Rates!$O$11,'ورود اطلاعات'!$E$16="بله"),'ورود اطلاعات'!$N$23*('Offline Table'!Q54),0)</f>
        <v>0</v>
      </c>
      <c r="U54" s="18">
        <f>IFERROR(IF(C54&lt;=Rates!$O$1,0.8/1000,0)*Q54*(1+VLOOKUP('ورود اطلاعات'!$E$25,Rates!$Q$1:$T$9,4,FALSE)/100),"")</f>
        <v>0</v>
      </c>
      <c r="V54" s="18">
        <f>IFERROR(IF(C54&lt;=Rates!$O$2,0.8/1000,0)*R54*(1+VLOOKUP('ورود اطلاعات'!$E$25,Rates!$Q$1:$T$9,4,FALSE)/100),"")</f>
        <v>0</v>
      </c>
      <c r="W54" s="18">
        <f>IF(AND(C54&lt;=Rates!$O$2,'ورود اطلاعات'!$H$22="معمولی"),VLOOKUP(C54,Rates!$A$1:$E$108,5,0),IF(AND(C54&lt;=Rates!$O$2,'ورود اطلاعات'!$H$22="پایه"),VLOOKUP(C54,Rates!$A$1:$F$108,6,0),IF(AND(C54&lt;=Rates!$O$2,'ورود اطلاعات'!$H$22="آسایش "),VLOOKUP(C54,Rates!$A$1:$G$108,7,0),IF(AND(C54&lt;=Rates!$O$2,'ورود اطلاعات'!$H$22="ممتاز"),VLOOKUP(C54,Rates!$A$1:$H$108,8,0),0))))*S54/1000000*(1+'ورود اطلاعات'!$E$22)</f>
        <v>0</v>
      </c>
      <c r="X54" s="18">
        <f>IFERROR(IF(C54&lt;=Rates!$O$11,0.8/1000*T54*(1+VLOOKUP('ورود اطلاعات'!$E$25,Rates!$Q$1:$T$9,4,FALSE)/100),0),"")</f>
        <v>0</v>
      </c>
      <c r="Y54" s="18">
        <f>(D54+U54+V54+W54+X54)*VLOOKUP('ورود اطلاعات'!$E$20,Rates!$V$1:$W$5,2,FALSE)</f>
        <v>0</v>
      </c>
      <c r="Z54" s="18">
        <f t="shared" si="0"/>
        <v>0</v>
      </c>
      <c r="AA54" s="18">
        <f>IFERROR(IF(C54&lt;=Rates!$O$1,VLOOKUP('ورود اطلاعات'!$E$20,Rates!$V$1:$X$5,3,FALSE),0),"")</f>
        <v>0</v>
      </c>
      <c r="AB54" s="18">
        <f>IFERROR(IF(C54&lt;=Rates!$O$1,(D54+Z54)/AA54,0),"")</f>
        <v>0</v>
      </c>
    </row>
    <row r="55" spans="1:28" x14ac:dyDescent="0.25">
      <c r="A55" s="17" t="str">
        <f>IF(A54&lt;&gt;"",IF(A54+1&lt;=(Rates!$O$1-'ورود اطلاعات'!$E$6),A54+1,""),"")</f>
        <v/>
      </c>
      <c r="B55" s="17" t="str">
        <f>IF(C55&lt;=Rates!$O$1,B54+1,"")</f>
        <v/>
      </c>
      <c r="C55" s="17" t="str">
        <f>IF(C54&lt;Rates!$O$1,C54+1,"")</f>
        <v/>
      </c>
      <c r="D55" s="18">
        <f>IF(C55&lt;=Rates!$O$1,D54*(1+'ورود اطلاعات'!$E$8),0)</f>
        <v>0</v>
      </c>
      <c r="E55" s="18">
        <f>IF(C55&lt;=Rates!$O$1,INT(D55+E54),0)</f>
        <v>0</v>
      </c>
      <c r="F55" s="18">
        <f>IF(C55&lt;=Rates!$O$1,ROUND(F54*(1+'ورود اطلاعات'!$E$9),0),0)</f>
        <v>0</v>
      </c>
      <c r="G55" s="18">
        <f>IF(A55&lt;=5,IF(C55&lt;=Rates!$O$1,$D$3*5/100,0),0)</f>
        <v>0</v>
      </c>
      <c r="H55" s="18">
        <f>IF(A55&lt;=5,ROUND(F55*Rates!$O$9,0),0)</f>
        <v>0</v>
      </c>
      <c r="I55" s="18">
        <f>IF(C55&lt;=Rates!$O$1,D55*Rates!$O$10,0)</f>
        <v>0</v>
      </c>
      <c r="J55" s="18">
        <f>IF(C55&lt;=Rates!$O$1,F55*(VLOOKUP(C55,Rates!$A$1:$D$108,4,FALSE))/(1.1^0.5),0)</f>
        <v>0</v>
      </c>
      <c r="K55" s="18">
        <f>IF(C55&lt;=Rates!$O$1,D55-(G55+H55+I55+J55),0)</f>
        <v>0</v>
      </c>
      <c r="L55" s="18">
        <f>IF(C55&lt;=Rates!$O$1,(K55+L54)*(1+(IF(B55&lt;=2,Rates!$O$5,IF(B55&lt;=4,Rates!$O$6,Rates!$O$7)))),0)</f>
        <v>0</v>
      </c>
      <c r="M55" s="18">
        <f>IF(C55&lt;=Rates!$O$1,(B55*D55)+(D55*'ورود اطلاعات'!$E$19/12),0)</f>
        <v>0</v>
      </c>
      <c r="N55" s="18">
        <f>IF(C55&lt;=Rates!$O$1,K55*(1+IF(A55&lt;=2,Rates!$O$5,IF(A55&lt;=4,Rates!$O$6,Rates!$O$7))+(Rates!$O$8-IF(A55&lt;=2,Rates!$O$5,IF(A55&lt;=4,Rates!$O$6,Rates!$O$7)))*(VLOOKUP('ورود اطلاعات'!$E$20,Rates!$V$1:$Y$5,4,FALSE)))+N54*(1+IF(A55&lt;=2,Rates!$O$5,IF(A55&lt;=4,Rates!$O$6,Rates!$O$7))+(Rates!$O$8-IF(A55&lt;=2,Rates!$O$5,IF(A55&lt;=4,Rates!$O$6,Rates!$O$7)))),0)</f>
        <v>0</v>
      </c>
      <c r="O55" s="18">
        <f t="shared" si="1"/>
        <v>0</v>
      </c>
      <c r="P55" s="18">
        <f>IF(A55&lt;=7,VLOOKUP(A55,Rates!$K$1:$L$8,2,FALSE),1)*L55</f>
        <v>0</v>
      </c>
      <c r="Q55" s="18">
        <f>IF('ورود اطلاعات'!$E$16="بله",IF(C55&lt;=Rates!$O$4,D55*'ورود اطلاعات'!$H$16,0),0)</f>
        <v>0</v>
      </c>
      <c r="R55" s="18">
        <f>IF('ورود اطلاعات'!$E$15="بله",IF(C55&lt;=Rates!$O$3,'ورود اطلاعات'!$H$15*D55,0),0)</f>
        <v>0</v>
      </c>
      <c r="S55" s="18">
        <f>IF(AND(C55&gt;=0,C55&lt;=Rates!$O$2,F55&gt;0),MIN(S54*(1+'ورود اطلاعات'!$E$8),IF('ورود اطلاعات'!$H$22="معمولی", 300000000,5000000000)),0)</f>
        <v>0</v>
      </c>
      <c r="T55" s="18">
        <f>IF(AND(C55&lt;=Rates!$O$11,'ورود اطلاعات'!$E$16="بله"),'ورود اطلاعات'!$N$23*('Offline Table'!Q55),0)</f>
        <v>0</v>
      </c>
      <c r="U55" s="18">
        <f>IFERROR(IF(C55&lt;=Rates!$O$1,0.8/1000,0)*Q55*(1+VLOOKUP('ورود اطلاعات'!$E$25,Rates!$Q$1:$T$9,4,FALSE)/100),"")</f>
        <v>0</v>
      </c>
      <c r="V55" s="18">
        <f>IFERROR(IF(C55&lt;=Rates!$O$2,0.8/1000,0)*R55*(1+VLOOKUP('ورود اطلاعات'!$E$25,Rates!$Q$1:$T$9,4,FALSE)/100),"")</f>
        <v>0</v>
      </c>
      <c r="W55" s="18">
        <f>IF(AND(C55&lt;=Rates!$O$2,'ورود اطلاعات'!$H$22="معمولی"),VLOOKUP(C55,Rates!$A$1:$E$108,5,0),IF(AND(C55&lt;=Rates!$O$2,'ورود اطلاعات'!$H$22="پایه"),VLOOKUP(C55,Rates!$A$1:$F$108,6,0),IF(AND(C55&lt;=Rates!$O$2,'ورود اطلاعات'!$H$22="آسایش "),VLOOKUP(C55,Rates!$A$1:$G$108,7,0),IF(AND(C55&lt;=Rates!$O$2,'ورود اطلاعات'!$H$22="ممتاز"),VLOOKUP(C55,Rates!$A$1:$H$108,8,0),0))))*S55/1000000*(1+'ورود اطلاعات'!$E$22)</f>
        <v>0</v>
      </c>
      <c r="X55" s="18">
        <f>IFERROR(IF(C55&lt;=Rates!$O$11,0.8/1000*T55*(1+VLOOKUP('ورود اطلاعات'!$E$25,Rates!$Q$1:$T$9,4,FALSE)/100),0),"")</f>
        <v>0</v>
      </c>
      <c r="Y55" s="18">
        <f>(D55+U55+V55+W55+X55)*VLOOKUP('ورود اطلاعات'!$E$20,Rates!$V$1:$W$5,2,FALSE)</f>
        <v>0</v>
      </c>
      <c r="Z55" s="18">
        <f t="shared" si="0"/>
        <v>0</v>
      </c>
      <c r="AA55" s="18">
        <f>IFERROR(IF(C55&lt;=Rates!$O$1,VLOOKUP('ورود اطلاعات'!$E$20,Rates!$V$1:$X$5,3,FALSE),0),"")</f>
        <v>0</v>
      </c>
      <c r="AB55" s="18">
        <f>IFERROR(IF(C55&lt;=Rates!$O$1,(D55+Z55)/AA55,0),"")</f>
        <v>0</v>
      </c>
    </row>
    <row r="56" spans="1:28" x14ac:dyDescent="0.25">
      <c r="A56" s="17" t="str">
        <f>IF(A55&lt;&gt;"",IF(A55+1&lt;=(Rates!$O$1-'ورود اطلاعات'!$E$6),A55+1,""),"")</f>
        <v/>
      </c>
      <c r="B56" s="17" t="str">
        <f>IF(C56&lt;=Rates!$O$1,B55+1,"")</f>
        <v/>
      </c>
      <c r="C56" s="17" t="str">
        <f>IF(C55&lt;Rates!$O$1,C55+1,"")</f>
        <v/>
      </c>
      <c r="D56" s="18">
        <f>IF(C56&lt;=Rates!$O$1,D55*(1+'ورود اطلاعات'!$E$8),0)</f>
        <v>0</v>
      </c>
      <c r="E56" s="18">
        <f>IF(C56&lt;=Rates!$O$1,INT(D56+E55),0)</f>
        <v>0</v>
      </c>
      <c r="F56" s="18">
        <f>IF(C56&lt;=Rates!$O$1,ROUND(F55*(1+'ورود اطلاعات'!$E$9),0),0)</f>
        <v>0</v>
      </c>
      <c r="G56" s="18">
        <f>IF(A56&lt;=5,IF(C56&lt;=Rates!$O$1,$D$3*5/100,0),0)</f>
        <v>0</v>
      </c>
      <c r="H56" s="18">
        <f>IF(A56&lt;=5,ROUND(F56*Rates!$O$9,0),0)</f>
        <v>0</v>
      </c>
      <c r="I56" s="18">
        <f>IF(C56&lt;=Rates!$O$1,D56*Rates!$O$10,0)</f>
        <v>0</v>
      </c>
      <c r="J56" s="18">
        <f>IF(C56&lt;=Rates!$O$1,F56*(VLOOKUP(C56,Rates!$A$1:$D$108,4,FALSE))/(1.1^0.5),0)</f>
        <v>0</v>
      </c>
      <c r="K56" s="18">
        <f>IF(C56&lt;=Rates!$O$1,D56-(G56+H56+I56+J56),0)</f>
        <v>0</v>
      </c>
      <c r="L56" s="18">
        <f>IF(C56&lt;=Rates!$O$1,(K56+L55)*(1+(IF(B56&lt;=2,Rates!$O$5,IF(B56&lt;=4,Rates!$O$6,Rates!$O$7)))),0)</f>
        <v>0</v>
      </c>
      <c r="M56" s="18">
        <f>IF(C56&lt;=Rates!$O$1,(B56*D56)+(D56*'ورود اطلاعات'!$E$19/12),0)</f>
        <v>0</v>
      </c>
      <c r="N56" s="18">
        <f>IF(C56&lt;=Rates!$O$1,K56*(1+IF(A56&lt;=2,Rates!$O$5,IF(A56&lt;=4,Rates!$O$6,Rates!$O$7))+(Rates!$O$8-IF(A56&lt;=2,Rates!$O$5,IF(A56&lt;=4,Rates!$O$6,Rates!$O$7)))*(VLOOKUP('ورود اطلاعات'!$E$20,Rates!$V$1:$Y$5,4,FALSE)))+N55*(1+IF(A56&lt;=2,Rates!$O$5,IF(A56&lt;=4,Rates!$O$6,Rates!$O$7))+(Rates!$O$8-IF(A56&lt;=2,Rates!$O$5,IF(A56&lt;=4,Rates!$O$6,Rates!$O$7)))),0)</f>
        <v>0</v>
      </c>
      <c r="O56" s="18">
        <f t="shared" si="1"/>
        <v>0</v>
      </c>
      <c r="P56" s="18">
        <f>IF(A56&lt;=7,VLOOKUP(A56,Rates!$K$1:$L$8,2,FALSE),1)*L56</f>
        <v>0</v>
      </c>
      <c r="Q56" s="18">
        <f>IF('ورود اطلاعات'!$E$16="بله",IF(C56&lt;=Rates!$O$4,D56*'ورود اطلاعات'!$H$16,0),0)</f>
        <v>0</v>
      </c>
      <c r="R56" s="18">
        <f>IF('ورود اطلاعات'!$E$15="بله",IF(C56&lt;=Rates!$O$3,'ورود اطلاعات'!$H$15*D56,0),0)</f>
        <v>0</v>
      </c>
      <c r="S56" s="18">
        <f>IF(AND(C56&gt;=0,C56&lt;=Rates!$O$2,F56&gt;0),MIN(S55*(1+'ورود اطلاعات'!$E$8),IF('ورود اطلاعات'!$H$22="معمولی", 300000000,5000000000)),0)</f>
        <v>0</v>
      </c>
      <c r="T56" s="18">
        <f>IF(AND(C56&lt;=Rates!$O$11,'ورود اطلاعات'!$E$16="بله"),'ورود اطلاعات'!$N$23*('Offline Table'!Q56),0)</f>
        <v>0</v>
      </c>
      <c r="U56" s="18">
        <f>IFERROR(IF(C56&lt;=Rates!$O$1,0.8/1000,0)*Q56*(1+VLOOKUP('ورود اطلاعات'!$E$25,Rates!$Q$1:$T$9,4,FALSE)/100),"")</f>
        <v>0</v>
      </c>
      <c r="V56" s="18">
        <f>IFERROR(IF(C56&lt;=Rates!$O$2,0.8/1000,0)*R56*(1+VLOOKUP('ورود اطلاعات'!$E$25,Rates!$Q$1:$T$9,4,FALSE)/100),"")</f>
        <v>0</v>
      </c>
      <c r="W56" s="18">
        <f>IF(AND(C56&lt;=Rates!$O$2,'ورود اطلاعات'!$H$22="معمولی"),VLOOKUP(C56,Rates!$A$1:$E$108,5,0),IF(AND(C56&lt;=Rates!$O$2,'ورود اطلاعات'!$H$22="پایه"),VLOOKUP(C56,Rates!$A$1:$F$108,6,0),IF(AND(C56&lt;=Rates!$O$2,'ورود اطلاعات'!$H$22="آسایش "),VLOOKUP(C56,Rates!$A$1:$G$108,7,0),IF(AND(C56&lt;=Rates!$O$2,'ورود اطلاعات'!$H$22="ممتاز"),VLOOKUP(C56,Rates!$A$1:$H$108,8,0),0))))*S56/1000000*(1+'ورود اطلاعات'!$E$22)</f>
        <v>0</v>
      </c>
      <c r="X56" s="18">
        <f>IFERROR(IF(C56&lt;=Rates!$O$11,0.8/1000*T56*(1+VLOOKUP('ورود اطلاعات'!$E$25,Rates!$Q$1:$T$9,4,FALSE)/100),0),"")</f>
        <v>0</v>
      </c>
      <c r="Y56" s="18">
        <f>(D56+U56+V56+W56+X56)*VLOOKUP('ورود اطلاعات'!$E$20,Rates!$V$1:$W$5,2,FALSE)</f>
        <v>0</v>
      </c>
      <c r="Z56" s="18">
        <f t="shared" si="0"/>
        <v>0</v>
      </c>
      <c r="AA56" s="18">
        <f>IFERROR(IF(C56&lt;=Rates!$O$1,VLOOKUP('ورود اطلاعات'!$E$20,Rates!$V$1:$X$5,3,FALSE),0),"")</f>
        <v>0</v>
      </c>
      <c r="AB56" s="18">
        <f>IFERROR(IF(C56&lt;=Rates!$O$1,(D56+Z56)/AA56,0),"")</f>
        <v>0</v>
      </c>
    </row>
    <row r="57" spans="1:28" x14ac:dyDescent="0.25">
      <c r="A57" s="17" t="str">
        <f>IF(A56&lt;&gt;"",IF(A56+1&lt;=(Rates!$O$1-'ورود اطلاعات'!$E$6),A56+1,""),"")</f>
        <v/>
      </c>
      <c r="B57" s="17" t="str">
        <f>IF(C57&lt;=Rates!$O$1,B56+1,"")</f>
        <v/>
      </c>
      <c r="C57" s="17" t="str">
        <f>IF(C56&lt;Rates!$O$1,C56+1,"")</f>
        <v/>
      </c>
      <c r="D57" s="18">
        <f>IF(C57&lt;=Rates!$O$1,D56*(1+'ورود اطلاعات'!$E$8),0)</f>
        <v>0</v>
      </c>
      <c r="E57" s="18">
        <f>IF(C57&lt;=Rates!$O$1,INT(D57+E56),0)</f>
        <v>0</v>
      </c>
      <c r="F57" s="18">
        <f>IF(C57&lt;=Rates!$O$1,ROUND(F56*(1+'ورود اطلاعات'!$E$9),0),0)</f>
        <v>0</v>
      </c>
      <c r="G57" s="18">
        <f>IF(A57&lt;=5,IF(C57&lt;=Rates!$O$1,$D$3*5/100,0),0)</f>
        <v>0</v>
      </c>
      <c r="H57" s="18">
        <f>IF(A57&lt;=5,ROUND(F57*Rates!$O$9,0),0)</f>
        <v>0</v>
      </c>
      <c r="I57" s="18">
        <f>IF(C57&lt;=Rates!$O$1,D57*Rates!$O$10,0)</f>
        <v>0</v>
      </c>
      <c r="J57" s="18">
        <f>IF(C57&lt;=Rates!$O$1,F57*(VLOOKUP(C57,Rates!$A$1:$D$108,4,FALSE))/(1.1^0.5),0)</f>
        <v>0</v>
      </c>
      <c r="K57" s="18">
        <f>IF(C57&lt;=Rates!$O$1,D57-(G57+H57+I57+J57),0)</f>
        <v>0</v>
      </c>
      <c r="L57" s="18">
        <f>IF(C57&lt;=Rates!$O$1,(K57+L56)*(1+(IF(B57&lt;=2,Rates!$O$5,IF(B57&lt;=4,Rates!$O$6,Rates!$O$7)))),0)</f>
        <v>0</v>
      </c>
      <c r="M57" s="18">
        <f>IF(C57&lt;=Rates!$O$1,(B57*D57)+(D57*'ورود اطلاعات'!$E$19/12),0)</f>
        <v>0</v>
      </c>
      <c r="N57" s="18">
        <f>IF(C57&lt;=Rates!$O$1,K57*(1+IF(A57&lt;=2,Rates!$O$5,IF(A57&lt;=4,Rates!$O$6,Rates!$O$7))+(Rates!$O$8-IF(A57&lt;=2,Rates!$O$5,IF(A57&lt;=4,Rates!$O$6,Rates!$O$7)))*(VLOOKUP('ورود اطلاعات'!$E$20,Rates!$V$1:$Y$5,4,FALSE)))+N56*(1+IF(A57&lt;=2,Rates!$O$5,IF(A57&lt;=4,Rates!$O$6,Rates!$O$7))+(Rates!$O$8-IF(A57&lt;=2,Rates!$O$5,IF(A57&lt;=4,Rates!$O$6,Rates!$O$7)))),0)</f>
        <v>0</v>
      </c>
      <c r="O57" s="18">
        <f t="shared" si="1"/>
        <v>0</v>
      </c>
      <c r="P57" s="18">
        <f>IF(A57&lt;=7,VLOOKUP(A57,Rates!$K$1:$L$8,2,FALSE),1)*L57</f>
        <v>0</v>
      </c>
      <c r="Q57" s="18">
        <f>IF('ورود اطلاعات'!$E$16="بله",IF(C57&lt;=Rates!$O$4,D57*'ورود اطلاعات'!$H$16,0),0)</f>
        <v>0</v>
      </c>
      <c r="R57" s="18">
        <f>IF('ورود اطلاعات'!$E$15="بله",IF(C57&lt;=Rates!$O$3,'ورود اطلاعات'!$H$15*D57,0),0)</f>
        <v>0</v>
      </c>
      <c r="S57" s="18">
        <f>IF(AND(C57&gt;=0,C57&lt;=Rates!$O$2,F57&gt;0),MIN(S56*(1+'ورود اطلاعات'!$E$8),IF('ورود اطلاعات'!$H$22="معمولی", 300000000,5000000000)),0)</f>
        <v>0</v>
      </c>
      <c r="T57" s="18">
        <f>IF(AND(C57&lt;=Rates!$O$11,'ورود اطلاعات'!$E$16="بله"),'ورود اطلاعات'!$N$23*('Offline Table'!Q57),0)</f>
        <v>0</v>
      </c>
      <c r="U57" s="18">
        <f>IFERROR(IF(C57&lt;=Rates!$O$1,0.8/1000,0)*Q57*(1+VLOOKUP('ورود اطلاعات'!$E$25,Rates!$Q$1:$T$9,4,FALSE)/100),"")</f>
        <v>0</v>
      </c>
      <c r="V57" s="18">
        <f>IFERROR(IF(C57&lt;=Rates!$O$2,0.8/1000,0)*R57*(1+VLOOKUP('ورود اطلاعات'!$E$25,Rates!$Q$1:$T$9,4,FALSE)/100),"")</f>
        <v>0</v>
      </c>
      <c r="W57" s="18">
        <f>IF(AND(C57&lt;=Rates!$O$2,'ورود اطلاعات'!$H$22="معمولی"),VLOOKUP(C57,Rates!$A$1:$E$108,5,0),IF(AND(C57&lt;=Rates!$O$2,'ورود اطلاعات'!$H$22="پایه"),VLOOKUP(C57,Rates!$A$1:$F$108,6,0),IF(AND(C57&lt;=Rates!$O$2,'ورود اطلاعات'!$H$22="آسایش "),VLOOKUP(C57,Rates!$A$1:$G$108,7,0),IF(AND(C57&lt;=Rates!$O$2,'ورود اطلاعات'!$H$22="ممتاز"),VLOOKUP(C57,Rates!$A$1:$H$108,8,0),0))))*S57/1000000*(1+'ورود اطلاعات'!$E$22)</f>
        <v>0</v>
      </c>
      <c r="X57" s="18">
        <f>IFERROR(IF(C57&lt;=Rates!$O$11,0.8/1000*T57*(1+VLOOKUP('ورود اطلاعات'!$E$25,Rates!$Q$1:$T$9,4,FALSE)/100),0),"")</f>
        <v>0</v>
      </c>
      <c r="Y57" s="18">
        <f>(D57+U57+V57+W57+X57)*VLOOKUP('ورود اطلاعات'!$E$20,Rates!$V$1:$W$5,2,FALSE)</f>
        <v>0</v>
      </c>
      <c r="Z57" s="18">
        <f t="shared" si="0"/>
        <v>0</v>
      </c>
      <c r="AA57" s="18">
        <f>IFERROR(IF(C57&lt;=Rates!$O$1,VLOOKUP('ورود اطلاعات'!$E$20,Rates!$V$1:$X$5,3,FALSE),0),"")</f>
        <v>0</v>
      </c>
      <c r="AB57" s="18">
        <f>IFERROR(IF(C57&lt;=Rates!$O$1,(D57+Z57)/AA57,0),"")</f>
        <v>0</v>
      </c>
    </row>
    <row r="58" spans="1:28" x14ac:dyDescent="0.25">
      <c r="A58" s="17" t="str">
        <f>IF(A57&lt;&gt;"",IF(A57+1&lt;=(Rates!$O$1-'ورود اطلاعات'!$E$6),A57+1,""),"")</f>
        <v/>
      </c>
      <c r="B58" s="17" t="str">
        <f>IF(C58&lt;=Rates!$O$1,B57+1,"")</f>
        <v/>
      </c>
      <c r="C58" s="17" t="str">
        <f>IF(C57&lt;Rates!$O$1,C57+1,"")</f>
        <v/>
      </c>
      <c r="D58" s="18">
        <f>IF(C58&lt;=Rates!$O$1,D57*(1+'ورود اطلاعات'!$E$8),0)</f>
        <v>0</v>
      </c>
      <c r="E58" s="18">
        <f>IF(C58&lt;=Rates!$O$1,INT(D58+E57),0)</f>
        <v>0</v>
      </c>
      <c r="F58" s="18">
        <f>IF(C58&lt;=Rates!$O$1,ROUND(F57*(1+'ورود اطلاعات'!$E$9),0),0)</f>
        <v>0</v>
      </c>
      <c r="G58" s="18">
        <f>IF(A58&lt;=5,IF(C58&lt;=Rates!$O$1,$D$3*5/100,0),0)</f>
        <v>0</v>
      </c>
      <c r="H58" s="18">
        <f>IF(A58&lt;=5,ROUND(F58*Rates!$O$9,0),0)</f>
        <v>0</v>
      </c>
      <c r="I58" s="18">
        <f>IF(C58&lt;=Rates!$O$1,D58*Rates!$O$10,0)</f>
        <v>0</v>
      </c>
      <c r="J58" s="18">
        <f>IF(C58&lt;=Rates!$O$1,F58*(VLOOKUP(C58,Rates!$A$1:$D$108,4,FALSE))/(1.1^0.5),0)</f>
        <v>0</v>
      </c>
      <c r="K58" s="18">
        <f>IF(C58&lt;=Rates!$O$1,D58-(G58+H58+I58+J58),0)</f>
        <v>0</v>
      </c>
      <c r="L58" s="18">
        <f>IF(C58&lt;=Rates!$O$1,(K58+L57)*(1+(IF(B58&lt;=2,Rates!$O$5,IF(B58&lt;=4,Rates!$O$6,Rates!$O$7)))),0)</f>
        <v>0</v>
      </c>
      <c r="M58" s="18">
        <f>IF(C58&lt;=Rates!$O$1,(B58*D58)+(D58*'ورود اطلاعات'!$E$19/12),0)</f>
        <v>0</v>
      </c>
      <c r="N58" s="18">
        <f>IF(C58&lt;=Rates!$O$1,K58*(1+IF(A58&lt;=2,Rates!$O$5,IF(A58&lt;=4,Rates!$O$6,Rates!$O$7))+(Rates!$O$8-IF(A58&lt;=2,Rates!$O$5,IF(A58&lt;=4,Rates!$O$6,Rates!$O$7)))*(VLOOKUP('ورود اطلاعات'!$E$20,Rates!$V$1:$Y$5,4,FALSE)))+N57*(1+IF(A58&lt;=2,Rates!$O$5,IF(A58&lt;=4,Rates!$O$6,Rates!$O$7))+(Rates!$O$8-IF(A58&lt;=2,Rates!$O$5,IF(A58&lt;=4,Rates!$O$6,Rates!$O$7)))),0)</f>
        <v>0</v>
      </c>
      <c r="O58" s="18">
        <f t="shared" si="1"/>
        <v>0</v>
      </c>
      <c r="P58" s="18">
        <f>IF(A58&lt;=7,VLOOKUP(A58,Rates!$K$1:$L$8,2,FALSE),1)*L58</f>
        <v>0</v>
      </c>
      <c r="Q58" s="18">
        <f>IF('ورود اطلاعات'!$E$16="بله",IF(C58&lt;=Rates!$O$4,D58*'ورود اطلاعات'!$H$16,0),0)</f>
        <v>0</v>
      </c>
      <c r="R58" s="18">
        <f>IF('ورود اطلاعات'!$E$15="بله",IF(C58&lt;=Rates!$O$3,'ورود اطلاعات'!$H$15*D58,0),0)</f>
        <v>0</v>
      </c>
      <c r="S58" s="18">
        <f>IF(AND(C58&gt;=0,C58&lt;=Rates!$O$2,F58&gt;0),MIN(S57*(1+'ورود اطلاعات'!$E$8),IF('ورود اطلاعات'!$H$22="معمولی", 300000000,5000000000)),0)</f>
        <v>0</v>
      </c>
      <c r="T58" s="18">
        <f>IF(AND(C58&lt;=Rates!$O$11,'ورود اطلاعات'!$E$16="بله"),'ورود اطلاعات'!$N$23*('Offline Table'!Q58),0)</f>
        <v>0</v>
      </c>
      <c r="U58" s="18">
        <f>IFERROR(IF(C58&lt;=Rates!$O$1,0.8/1000,0)*Q58*(1+VLOOKUP('ورود اطلاعات'!$E$25,Rates!$Q$1:$T$9,4,FALSE)/100),"")</f>
        <v>0</v>
      </c>
      <c r="V58" s="18">
        <f>IFERROR(IF(C58&lt;=Rates!$O$2,0.8/1000,0)*R58*(1+VLOOKUP('ورود اطلاعات'!$E$25,Rates!$Q$1:$T$9,4,FALSE)/100),"")</f>
        <v>0</v>
      </c>
      <c r="W58" s="18">
        <f>IF(AND(C58&lt;=Rates!$O$2,'ورود اطلاعات'!$H$22="معمولی"),VLOOKUP(C58,Rates!$A$1:$E$108,5,0),IF(AND(C58&lt;=Rates!$O$2,'ورود اطلاعات'!$H$22="پایه"),VLOOKUP(C58,Rates!$A$1:$F$108,6,0),IF(AND(C58&lt;=Rates!$O$2,'ورود اطلاعات'!$H$22="آسایش "),VLOOKUP(C58,Rates!$A$1:$G$108,7,0),IF(AND(C58&lt;=Rates!$O$2,'ورود اطلاعات'!$H$22="ممتاز"),VLOOKUP(C58,Rates!$A$1:$H$108,8,0),0))))*S58/1000000*(1+'ورود اطلاعات'!$E$22)</f>
        <v>0</v>
      </c>
      <c r="X58" s="18">
        <f>IFERROR(IF(C58&lt;=Rates!$O$11,0.8/1000*T58*(1+VLOOKUP('ورود اطلاعات'!$E$25,Rates!$Q$1:$T$9,4,FALSE)/100),0),"")</f>
        <v>0</v>
      </c>
      <c r="Y58" s="18">
        <f>(D58+U58+V58+W58+X58)*VLOOKUP('ورود اطلاعات'!$E$20,Rates!$V$1:$W$5,2,FALSE)</f>
        <v>0</v>
      </c>
      <c r="Z58" s="18">
        <f t="shared" si="0"/>
        <v>0</v>
      </c>
      <c r="AA58" s="18">
        <f>IFERROR(IF(C58&lt;=Rates!$O$1,VLOOKUP('ورود اطلاعات'!$E$20,Rates!$V$1:$X$5,3,FALSE),0),"")</f>
        <v>0</v>
      </c>
      <c r="AB58" s="18">
        <f>IFERROR(IF(C58&lt;=Rates!$O$1,(D58+Z58)/AA58,0),"")</f>
        <v>0</v>
      </c>
    </row>
    <row r="59" spans="1:28" x14ac:dyDescent="0.25">
      <c r="A59" s="17" t="str">
        <f>IF(A58&lt;&gt;"",IF(A58+1&lt;=(Rates!$O$1-'ورود اطلاعات'!$E$6),A58+1,""),"")</f>
        <v/>
      </c>
      <c r="B59" s="17" t="str">
        <f>IF(C59&lt;=Rates!$O$1,B58+1,"")</f>
        <v/>
      </c>
      <c r="C59" s="17" t="str">
        <f>IF(C58&lt;Rates!$O$1,C58+1,"")</f>
        <v/>
      </c>
      <c r="D59" s="18">
        <f>IF(C59&lt;=Rates!$O$1,D58*(1+'ورود اطلاعات'!$E$8),0)</f>
        <v>0</v>
      </c>
      <c r="E59" s="18">
        <f>IF(C59&lt;=Rates!$O$1,INT(D59+E58),0)</f>
        <v>0</v>
      </c>
      <c r="F59" s="18">
        <f>IF(C59&lt;=Rates!$O$1,ROUND(F58*(1+'ورود اطلاعات'!$E$9),0),0)</f>
        <v>0</v>
      </c>
      <c r="G59" s="18">
        <f>IF(A59&lt;=5,IF(C59&lt;=Rates!$O$1,$D$3*5/100,0),0)</f>
        <v>0</v>
      </c>
      <c r="H59" s="18">
        <f>IF(A59&lt;=5,ROUND(F59*Rates!$O$9,0),0)</f>
        <v>0</v>
      </c>
      <c r="I59" s="18">
        <f>IF(C59&lt;=Rates!$O$1,D59*Rates!$O$10,0)</f>
        <v>0</v>
      </c>
      <c r="J59" s="18">
        <f>IF(C59&lt;=Rates!$O$1,F59*(VLOOKUP(C59,Rates!$A$1:$D$108,4,FALSE))/(1.1^0.5),0)</f>
        <v>0</v>
      </c>
      <c r="K59" s="18">
        <f>IF(C59&lt;=Rates!$O$1,D59-(G59+H59+I59+J59),0)</f>
        <v>0</v>
      </c>
      <c r="L59" s="18">
        <f>IF(C59&lt;=Rates!$O$1,(K59+L58)*(1+(IF(B59&lt;=2,Rates!$O$5,IF(B59&lt;=4,Rates!$O$6,Rates!$O$7)))),0)</f>
        <v>0</v>
      </c>
      <c r="M59" s="18">
        <f>IF(C59&lt;=Rates!$O$1,(B59*D59)+(D59*'ورود اطلاعات'!$E$19/12),0)</f>
        <v>0</v>
      </c>
      <c r="N59" s="18">
        <f>IF(C59&lt;=Rates!$O$1,K59*(1+IF(A59&lt;=2,Rates!$O$5,IF(A59&lt;=4,Rates!$O$6,Rates!$O$7))+(Rates!$O$8-IF(A59&lt;=2,Rates!$O$5,IF(A59&lt;=4,Rates!$O$6,Rates!$O$7)))*(VLOOKUP('ورود اطلاعات'!$E$20,Rates!$V$1:$Y$5,4,FALSE)))+N58*(1+IF(A59&lt;=2,Rates!$O$5,IF(A59&lt;=4,Rates!$O$6,Rates!$O$7))+(Rates!$O$8-IF(A59&lt;=2,Rates!$O$5,IF(A59&lt;=4,Rates!$O$6,Rates!$O$7)))),0)</f>
        <v>0</v>
      </c>
      <c r="O59" s="18">
        <f t="shared" si="1"/>
        <v>0</v>
      </c>
      <c r="P59" s="18">
        <f>IF(A59&lt;=7,VLOOKUP(A59,Rates!$K$1:$L$8,2,FALSE),1)*L59</f>
        <v>0</v>
      </c>
      <c r="Q59" s="18">
        <f>IF('ورود اطلاعات'!$E$16="بله",IF(C59&lt;=Rates!$O$4,D59*'ورود اطلاعات'!$H$16,0),0)</f>
        <v>0</v>
      </c>
      <c r="R59" s="18">
        <f>IF('ورود اطلاعات'!$E$15="بله",IF(C59&lt;=Rates!$O$3,'ورود اطلاعات'!$H$15*D59,0),0)</f>
        <v>0</v>
      </c>
      <c r="S59" s="18">
        <f>IF(AND(C59&gt;=0,C59&lt;=Rates!$O$2,F59&gt;0),MIN(S58*(1+'ورود اطلاعات'!$E$8),IF('ورود اطلاعات'!$H$22="معمولی", 300000000,5000000000)),0)</f>
        <v>0</v>
      </c>
      <c r="T59" s="18">
        <f>IF(AND(C59&lt;=Rates!$O$11,'ورود اطلاعات'!$E$16="بله"),'ورود اطلاعات'!$N$23*('Offline Table'!Q59),0)</f>
        <v>0</v>
      </c>
      <c r="U59" s="18">
        <f>IFERROR(IF(C59&lt;=Rates!$O$1,0.8/1000,0)*Q59*(1+VLOOKUP('ورود اطلاعات'!$E$25,Rates!$Q$1:$T$9,4,FALSE)/100),"")</f>
        <v>0</v>
      </c>
      <c r="V59" s="18">
        <f>IFERROR(IF(C59&lt;=Rates!$O$2,0.8/1000,0)*R59*(1+VLOOKUP('ورود اطلاعات'!$E$25,Rates!$Q$1:$T$9,4,FALSE)/100),"")</f>
        <v>0</v>
      </c>
      <c r="W59" s="18">
        <f>IF(AND(C59&lt;=Rates!$O$2,'ورود اطلاعات'!$H$22="معمولی"),VLOOKUP(C59,Rates!$A$1:$E$108,5,0),IF(AND(C59&lt;=Rates!$O$2,'ورود اطلاعات'!$H$22="پایه"),VLOOKUP(C59,Rates!$A$1:$F$108,6,0),IF(AND(C59&lt;=Rates!$O$2,'ورود اطلاعات'!$H$22="آسایش "),VLOOKUP(C59,Rates!$A$1:$G$108,7,0),IF(AND(C59&lt;=Rates!$O$2,'ورود اطلاعات'!$H$22="ممتاز"),VLOOKUP(C59,Rates!$A$1:$H$108,8,0),0))))*S59/1000000*(1+'ورود اطلاعات'!$E$22)</f>
        <v>0</v>
      </c>
      <c r="X59" s="18">
        <f>IFERROR(IF(C59&lt;=Rates!$O$11,0.8/1000*T59*(1+VLOOKUP('ورود اطلاعات'!$E$25,Rates!$Q$1:$T$9,4,FALSE)/100),0),"")</f>
        <v>0</v>
      </c>
      <c r="Y59" s="18">
        <f>(D59+U59+V59+W59+X59)*VLOOKUP('ورود اطلاعات'!$E$20,Rates!$V$1:$W$5,2,FALSE)</f>
        <v>0</v>
      </c>
      <c r="Z59" s="18">
        <f t="shared" si="0"/>
        <v>0</v>
      </c>
      <c r="AA59" s="18">
        <f>IFERROR(IF(C59&lt;=Rates!$O$1,VLOOKUP('ورود اطلاعات'!$E$20,Rates!$V$1:$X$5,3,FALSE),0),"")</f>
        <v>0</v>
      </c>
      <c r="AB59" s="18">
        <f>IFERROR(IF(C59&lt;=Rates!$O$1,(D59+Z59)/AA59,0),"")</f>
        <v>0</v>
      </c>
    </row>
    <row r="60" spans="1:28" x14ac:dyDescent="0.25">
      <c r="A60" s="17" t="str">
        <f>IF(A59&lt;&gt;"",IF(A59+1&lt;=(Rates!$O$1-'ورود اطلاعات'!$E$6),A59+1,""),"")</f>
        <v/>
      </c>
      <c r="B60" s="17" t="str">
        <f>IF(C60&lt;=Rates!$O$1,B59+1,"")</f>
        <v/>
      </c>
      <c r="C60" s="17" t="str">
        <f>IF(C59&lt;Rates!$O$1,C59+1,"")</f>
        <v/>
      </c>
      <c r="D60" s="18">
        <f>IF(C60&lt;=Rates!$O$1,D59*(1+'ورود اطلاعات'!$E$8),0)</f>
        <v>0</v>
      </c>
      <c r="E60" s="18">
        <f>IF(C60&lt;=Rates!$O$1,INT(D60+E59),0)</f>
        <v>0</v>
      </c>
      <c r="F60" s="18">
        <f>IF(C60&lt;=Rates!$O$1,ROUND(F59*(1+'ورود اطلاعات'!$E$9),0),0)</f>
        <v>0</v>
      </c>
      <c r="G60" s="18">
        <f>IF(A60&lt;=5,IF(C60&lt;=Rates!$O$1,$D$3*5/100,0),0)</f>
        <v>0</v>
      </c>
      <c r="H60" s="18">
        <f>IF(A60&lt;=5,ROUND(F60*Rates!$O$9,0),0)</f>
        <v>0</v>
      </c>
      <c r="I60" s="18">
        <f>IF(C60&lt;=Rates!$O$1,D60*Rates!$O$10,0)</f>
        <v>0</v>
      </c>
      <c r="J60" s="18">
        <f>IF(C60&lt;=Rates!$O$1,F60*(VLOOKUP(C60,Rates!$A$1:$D$108,4,FALSE))/(1.1^0.5),0)</f>
        <v>0</v>
      </c>
      <c r="K60" s="18">
        <f>IF(C60&lt;=Rates!$O$1,D60-(G60+H60+I60+J60),0)</f>
        <v>0</v>
      </c>
      <c r="L60" s="18">
        <f>IF(C60&lt;=Rates!$O$1,(K60+L59)*(1+(IF(B60&lt;=2,Rates!$O$5,IF(B60&lt;=4,Rates!$O$6,Rates!$O$7)))),0)</f>
        <v>0</v>
      </c>
      <c r="M60" s="18">
        <f>IF(C60&lt;=Rates!$O$1,(B60*D60)+(D60*'ورود اطلاعات'!$E$19/12),0)</f>
        <v>0</v>
      </c>
      <c r="N60" s="18">
        <f>IF(C60&lt;=Rates!$O$1,K60*(1+IF(A60&lt;=2,Rates!$O$5,IF(A60&lt;=4,Rates!$O$6,Rates!$O$7))+(Rates!$O$8-IF(A60&lt;=2,Rates!$O$5,IF(A60&lt;=4,Rates!$O$6,Rates!$O$7)))*(VLOOKUP('ورود اطلاعات'!$E$20,Rates!$V$1:$Y$5,4,FALSE)))+N59*(1+IF(A60&lt;=2,Rates!$O$5,IF(A60&lt;=4,Rates!$O$6,Rates!$O$7))+(Rates!$O$8-IF(A60&lt;=2,Rates!$O$5,IF(A60&lt;=4,Rates!$O$6,Rates!$O$7)))),0)</f>
        <v>0</v>
      </c>
      <c r="O60" s="18">
        <f t="shared" si="1"/>
        <v>0</v>
      </c>
      <c r="P60" s="18">
        <f>IF(A60&lt;=7,VLOOKUP(A60,Rates!$K$1:$L$8,2,FALSE),1)*L60</f>
        <v>0</v>
      </c>
      <c r="Q60" s="18">
        <f>IF('ورود اطلاعات'!$E$16="بله",IF(C60&lt;=Rates!$O$4,D60*'ورود اطلاعات'!$H$16,0),0)</f>
        <v>0</v>
      </c>
      <c r="R60" s="18">
        <f>IF('ورود اطلاعات'!$E$15="بله",IF(C60&lt;=Rates!$O$3,'ورود اطلاعات'!$H$15*D60,0),0)</f>
        <v>0</v>
      </c>
      <c r="S60" s="18">
        <f>IF(AND(C60&gt;=0,C60&lt;=Rates!$O$2,F60&gt;0),MIN(S59*(1+'ورود اطلاعات'!$E$8),IF('ورود اطلاعات'!$H$22="معمولی", 300000000,5000000000)),0)</f>
        <v>0</v>
      </c>
      <c r="T60" s="18">
        <f>IF(AND(C60&lt;=Rates!$O$11,'ورود اطلاعات'!$E$16="بله"),'ورود اطلاعات'!$N$23*('Offline Table'!Q60),0)</f>
        <v>0</v>
      </c>
      <c r="U60" s="18">
        <f>IFERROR(IF(C60&lt;=Rates!$O$1,0.8/1000,0)*Q60*(1+VLOOKUP('ورود اطلاعات'!$E$25,Rates!$Q$1:$T$9,4,FALSE)/100),"")</f>
        <v>0</v>
      </c>
      <c r="V60" s="18">
        <f>IFERROR(IF(C60&lt;=Rates!$O$2,0.8/1000,0)*R60*(1+VLOOKUP('ورود اطلاعات'!$E$25,Rates!$Q$1:$T$9,4,FALSE)/100),"")</f>
        <v>0</v>
      </c>
      <c r="W60" s="18">
        <f>IF(AND(C60&lt;=Rates!$O$2,'ورود اطلاعات'!$H$22="معمولی"),VLOOKUP(C60,Rates!$A$1:$E$108,5,0),IF(AND(C60&lt;=Rates!$O$2,'ورود اطلاعات'!$H$22="پایه"),VLOOKUP(C60,Rates!$A$1:$F$108,6,0),IF(AND(C60&lt;=Rates!$O$2,'ورود اطلاعات'!$H$22="آسایش "),VLOOKUP(C60,Rates!$A$1:$G$108,7,0),IF(AND(C60&lt;=Rates!$O$2,'ورود اطلاعات'!$H$22="ممتاز"),VLOOKUP(C60,Rates!$A$1:$H$108,8,0),0))))*S60/1000000*(1+'ورود اطلاعات'!$E$22)</f>
        <v>0</v>
      </c>
      <c r="X60" s="18">
        <f>IFERROR(IF(C60&lt;=Rates!$O$11,0.8/1000*T60*(1+VLOOKUP('ورود اطلاعات'!$E$25,Rates!$Q$1:$T$9,4,FALSE)/100),0),"")</f>
        <v>0</v>
      </c>
      <c r="Y60" s="18">
        <f>(D60+U60+V60+W60+X60)*VLOOKUP('ورود اطلاعات'!$E$20,Rates!$V$1:$W$5,2,FALSE)</f>
        <v>0</v>
      </c>
      <c r="Z60" s="18">
        <f t="shared" si="0"/>
        <v>0</v>
      </c>
      <c r="AA60" s="18">
        <f>IFERROR(IF(C60&lt;=Rates!$O$1,VLOOKUP('ورود اطلاعات'!$E$20,Rates!$V$1:$X$5,3,FALSE),0),"")</f>
        <v>0</v>
      </c>
      <c r="AB60" s="18">
        <f>IFERROR(IF(C60&lt;=Rates!$O$1,(D60+Z60)/AA60,0),"")</f>
        <v>0</v>
      </c>
    </row>
    <row r="61" spans="1:28" x14ac:dyDescent="0.25">
      <c r="A61" s="17" t="str">
        <f>IF(A60&lt;&gt;"",IF(A60+1&lt;=(Rates!$O$1-'ورود اطلاعات'!$E$6),A60+1,""),"")</f>
        <v/>
      </c>
      <c r="B61" s="17" t="str">
        <f>IF(C61&lt;=Rates!$O$1,B60+1,"")</f>
        <v/>
      </c>
      <c r="C61" s="17" t="str">
        <f>IF(C60&lt;Rates!$O$1,C60+1,"")</f>
        <v/>
      </c>
      <c r="D61" s="18">
        <f>IF(C61&lt;=Rates!$O$1,D60*(1+'ورود اطلاعات'!$E$8),0)</f>
        <v>0</v>
      </c>
      <c r="E61" s="18">
        <f>IF(C61&lt;=Rates!$O$1,INT(D61+E60),0)</f>
        <v>0</v>
      </c>
      <c r="F61" s="18">
        <f>IF(C61&lt;=Rates!$O$1,ROUND(F60*(1+'ورود اطلاعات'!$E$9),0),0)</f>
        <v>0</v>
      </c>
      <c r="G61" s="18">
        <f>IF(A61&lt;=5,IF(C61&lt;=Rates!$O$1,$D$3*5/100,0),0)</f>
        <v>0</v>
      </c>
      <c r="H61" s="18">
        <f>IF(A61&lt;=5,ROUND(F61*Rates!$O$9,0),0)</f>
        <v>0</v>
      </c>
      <c r="I61" s="18">
        <f>IF(C61&lt;=Rates!$O$1,D61*Rates!$O$10,0)</f>
        <v>0</v>
      </c>
      <c r="J61" s="18">
        <f>IF(C61&lt;=Rates!$O$1,F61*(VLOOKUP(C61,Rates!$A$1:$D$108,4,FALSE))/(1.1^0.5),0)</f>
        <v>0</v>
      </c>
      <c r="K61" s="18">
        <f>IF(C61&lt;=Rates!$O$1,D61-(G61+H61+I61+J61),0)</f>
        <v>0</v>
      </c>
      <c r="L61" s="18">
        <f>IF(C61&lt;=Rates!$O$1,(K61+L60)*(1+(IF(B61&lt;=2,Rates!$O$5,IF(B61&lt;=4,Rates!$O$6,Rates!$O$7)))),0)</f>
        <v>0</v>
      </c>
      <c r="M61" s="18">
        <f>IF(C61&lt;=Rates!$O$1,(B61*D61)+(D61*'ورود اطلاعات'!$E$19/12),0)</f>
        <v>0</v>
      </c>
      <c r="N61" s="18">
        <f>IF(C61&lt;=Rates!$O$1,K61*(1+IF(A61&lt;=2,Rates!$O$5,IF(A61&lt;=4,Rates!$O$6,Rates!$O$7))+(Rates!$O$8-IF(A61&lt;=2,Rates!$O$5,IF(A61&lt;=4,Rates!$O$6,Rates!$O$7)))*(VLOOKUP('ورود اطلاعات'!$E$20,Rates!$V$1:$Y$5,4,FALSE)))+N60*(1+IF(A61&lt;=2,Rates!$O$5,IF(A61&lt;=4,Rates!$O$6,Rates!$O$7))+(Rates!$O$8-IF(A61&lt;=2,Rates!$O$5,IF(A61&lt;=4,Rates!$O$6,Rates!$O$7)))),0)</f>
        <v>0</v>
      </c>
      <c r="O61" s="18">
        <f t="shared" si="1"/>
        <v>0</v>
      </c>
      <c r="P61" s="18">
        <f>IF(A61&lt;=7,VLOOKUP(A61,Rates!$K$1:$L$8,2,FALSE),1)*L61</f>
        <v>0</v>
      </c>
      <c r="Q61" s="18">
        <f>IF('ورود اطلاعات'!$E$16="بله",IF(C61&lt;=Rates!$O$4,D61*'ورود اطلاعات'!$H$16,0),0)</f>
        <v>0</v>
      </c>
      <c r="R61" s="18">
        <f>IF('ورود اطلاعات'!$E$15="بله",IF(C61&lt;=Rates!$O$3,'ورود اطلاعات'!$H$15*D61,0),0)</f>
        <v>0</v>
      </c>
      <c r="S61" s="18">
        <f>IF(AND(C61&gt;=0,C61&lt;=Rates!$O$2,F61&gt;0),MIN(S60*(1+'ورود اطلاعات'!$E$8),IF('ورود اطلاعات'!$H$22="معمولی", 300000000,5000000000)),0)</f>
        <v>0</v>
      </c>
      <c r="T61" s="18">
        <f>IF(AND(C61&lt;=Rates!$O$11,'ورود اطلاعات'!$E$16="بله"),'ورود اطلاعات'!$N$23*('Offline Table'!Q61),0)</f>
        <v>0</v>
      </c>
      <c r="U61" s="18">
        <f>IFERROR(IF(C61&lt;=Rates!$O$1,0.8/1000,0)*Q61*(1+VLOOKUP('ورود اطلاعات'!$E$25,Rates!$Q$1:$T$9,4,FALSE)/100),"")</f>
        <v>0</v>
      </c>
      <c r="V61" s="18">
        <f>IFERROR(IF(C61&lt;=Rates!$O$2,0.8/1000,0)*R61*(1+VLOOKUP('ورود اطلاعات'!$E$25,Rates!$Q$1:$T$9,4,FALSE)/100),"")</f>
        <v>0</v>
      </c>
      <c r="W61" s="18">
        <f>IF(AND(C61&lt;=Rates!$O$2,'ورود اطلاعات'!$H$22="معمولی"),VLOOKUP(C61,Rates!$A$1:$E$108,5,0),IF(AND(C61&lt;=Rates!$O$2,'ورود اطلاعات'!$H$22="پایه"),VLOOKUP(C61,Rates!$A$1:$F$108,6,0),IF(AND(C61&lt;=Rates!$O$2,'ورود اطلاعات'!$H$22="آسایش "),VLOOKUP(C61,Rates!$A$1:$G$108,7,0),IF(AND(C61&lt;=Rates!$O$2,'ورود اطلاعات'!$H$22="ممتاز"),VLOOKUP(C61,Rates!$A$1:$H$108,8,0),0))))*S61/1000000*(1+'ورود اطلاعات'!$E$22)</f>
        <v>0</v>
      </c>
      <c r="X61" s="18">
        <f>IFERROR(IF(C61&lt;=Rates!$O$11,0.8/1000*T61*(1+VLOOKUP('ورود اطلاعات'!$E$25,Rates!$Q$1:$T$9,4,FALSE)/100),0),"")</f>
        <v>0</v>
      </c>
      <c r="Y61" s="18">
        <f>(D61+U61+V61+W61+X61)*VLOOKUP('ورود اطلاعات'!$E$20,Rates!$V$1:$W$5,2,FALSE)</f>
        <v>0</v>
      </c>
      <c r="Z61" s="18">
        <f t="shared" si="0"/>
        <v>0</v>
      </c>
      <c r="AA61" s="18">
        <f>IFERROR(IF(C61&lt;=Rates!$O$1,VLOOKUP('ورود اطلاعات'!$E$20,Rates!$V$1:$X$5,3,FALSE),0),"")</f>
        <v>0</v>
      </c>
      <c r="AB61" s="18">
        <f>IFERROR(IF(C61&lt;=Rates!$O$1,(D61+Z61)/AA61,0),"")</f>
        <v>0</v>
      </c>
    </row>
    <row r="62" spans="1:28" x14ac:dyDescent="0.25">
      <c r="A62" s="17" t="str">
        <f>IF(A61&lt;&gt;"",IF(A61+1&lt;=(Rates!$O$1-'ورود اطلاعات'!$E$6),A61+1,""),"")</f>
        <v/>
      </c>
      <c r="B62" s="17" t="str">
        <f>IF(C62&lt;=Rates!$O$1,B61+1,"")</f>
        <v/>
      </c>
      <c r="C62" s="17" t="str">
        <f>IF(C61&lt;Rates!$O$1,C61+1,"")</f>
        <v/>
      </c>
      <c r="D62" s="18">
        <f>IF(C62&lt;=Rates!$O$1,D61*(1+'ورود اطلاعات'!$E$8),0)</f>
        <v>0</v>
      </c>
      <c r="E62" s="18">
        <f>IF(C62&lt;=Rates!$O$1,INT(D62+E61),0)</f>
        <v>0</v>
      </c>
      <c r="F62" s="18">
        <f>IF(C62&lt;=Rates!$O$1,ROUND(F61*(1+'ورود اطلاعات'!$E$9),0),0)</f>
        <v>0</v>
      </c>
      <c r="G62" s="18">
        <f>IF(A62&lt;=5,IF(C62&lt;=Rates!$O$1,$D$3*5/100,0),0)</f>
        <v>0</v>
      </c>
      <c r="H62" s="18">
        <f>IF(A62&lt;=5,ROUND(F62*Rates!$O$9,0),0)</f>
        <v>0</v>
      </c>
      <c r="I62" s="18">
        <f>IF(C62&lt;=Rates!$O$1,D62*Rates!$O$10,0)</f>
        <v>0</v>
      </c>
      <c r="J62" s="18">
        <f>IF(C62&lt;=Rates!$O$1,F62*(VLOOKUP(C62,Rates!$A$1:$D$108,4,FALSE))/(1.1^0.5),0)</f>
        <v>0</v>
      </c>
      <c r="K62" s="18">
        <f>IF(C62&lt;=Rates!$O$1,D62-(G62+H62+I62+J62),0)</f>
        <v>0</v>
      </c>
      <c r="L62" s="18">
        <f>IF(C62&lt;=Rates!$O$1,(K62+L61)*(1+(IF(B62&lt;=2,Rates!$O$5,IF(B62&lt;=4,Rates!$O$6,Rates!$O$7)))),0)</f>
        <v>0</v>
      </c>
      <c r="M62" s="18">
        <f>IF(C62&lt;=Rates!$O$1,(B62*D62)+(D62*'ورود اطلاعات'!$E$19/12),0)</f>
        <v>0</v>
      </c>
      <c r="N62" s="18">
        <f>IF(C62&lt;=Rates!$O$1,K62*(1+IF(A62&lt;=2,Rates!$O$5,IF(A62&lt;=4,Rates!$O$6,Rates!$O$7))+(Rates!$O$8-IF(A62&lt;=2,Rates!$O$5,IF(A62&lt;=4,Rates!$O$6,Rates!$O$7)))*(VLOOKUP('ورود اطلاعات'!$E$20,Rates!$V$1:$Y$5,4,FALSE)))+N61*(1+IF(A62&lt;=2,Rates!$O$5,IF(A62&lt;=4,Rates!$O$6,Rates!$O$7))+(Rates!$O$8-IF(A62&lt;=2,Rates!$O$5,IF(A62&lt;=4,Rates!$O$6,Rates!$O$7)))),0)</f>
        <v>0</v>
      </c>
      <c r="O62" s="18">
        <f t="shared" si="1"/>
        <v>0</v>
      </c>
      <c r="P62" s="18">
        <f>IF(A62&lt;=7,VLOOKUP(A62,Rates!$K$1:$L$8,2,FALSE),1)*L62</f>
        <v>0</v>
      </c>
      <c r="Q62" s="18">
        <f>IF('ورود اطلاعات'!$E$16="بله",IF(C62&lt;=Rates!$O$4,D62*'ورود اطلاعات'!$H$16,0),0)</f>
        <v>0</v>
      </c>
      <c r="R62" s="18">
        <f>IF('ورود اطلاعات'!$E$15="بله",IF(C62&lt;=Rates!$O$3,'ورود اطلاعات'!$H$15*D62,0),0)</f>
        <v>0</v>
      </c>
      <c r="S62" s="18">
        <f>IF(AND(C62&gt;=0,C62&lt;=Rates!$O$2,F62&gt;0),MIN(S61*(1+'ورود اطلاعات'!$E$8),IF('ورود اطلاعات'!$H$22="معمولی", 300000000,5000000000)),0)</f>
        <v>0</v>
      </c>
      <c r="T62" s="18">
        <f>IF(AND(C62&lt;=Rates!$O$11,'ورود اطلاعات'!$E$16="بله"),'ورود اطلاعات'!$N$23*('Offline Table'!Q62),0)</f>
        <v>0</v>
      </c>
      <c r="U62" s="18">
        <f>IFERROR(IF(C62&lt;=Rates!$O$1,0.8/1000,0)*Q62*(1+VLOOKUP('ورود اطلاعات'!$E$25,Rates!$Q$1:$T$9,4,FALSE)/100),"")</f>
        <v>0</v>
      </c>
      <c r="V62" s="18">
        <f>IFERROR(IF(C62&lt;=Rates!$O$2,0.8/1000,0)*R62*(1+VLOOKUP('ورود اطلاعات'!$E$25,Rates!$Q$1:$T$9,4,FALSE)/100),"")</f>
        <v>0</v>
      </c>
      <c r="W62" s="18">
        <f>IF(AND(C62&lt;=Rates!$O$2,'ورود اطلاعات'!$H$22="معمولی"),VLOOKUP(C62,Rates!$A$1:$E$108,5,0),IF(AND(C62&lt;=Rates!$O$2,'ورود اطلاعات'!$H$22="پایه"),VLOOKUP(C62,Rates!$A$1:$F$108,6,0),IF(AND(C62&lt;=Rates!$O$2,'ورود اطلاعات'!$H$22="آسایش "),VLOOKUP(C62,Rates!$A$1:$G$108,7,0),IF(AND(C62&lt;=Rates!$O$2,'ورود اطلاعات'!$H$22="ممتاز"),VLOOKUP(C62,Rates!$A$1:$H$108,8,0),0))))*S62/1000000*(1+'ورود اطلاعات'!$E$22)</f>
        <v>0</v>
      </c>
      <c r="X62" s="18">
        <f>IFERROR(IF(C62&lt;=Rates!$O$11,0.8/1000*T62*(1+VLOOKUP('ورود اطلاعات'!$E$25,Rates!$Q$1:$T$9,4,FALSE)/100),0),"")</f>
        <v>0</v>
      </c>
      <c r="Y62" s="18">
        <f>(D62+U62+V62+W62+X62)*VLOOKUP('ورود اطلاعات'!$E$20,Rates!$V$1:$W$5,2,FALSE)</f>
        <v>0</v>
      </c>
      <c r="Z62" s="18">
        <f t="shared" si="0"/>
        <v>0</v>
      </c>
      <c r="AA62" s="18">
        <f>IFERROR(IF(C62&lt;=Rates!$O$1,VLOOKUP('ورود اطلاعات'!$E$20,Rates!$V$1:$X$5,3,FALSE),0),"")</f>
        <v>0</v>
      </c>
      <c r="AB62" s="18">
        <f>IFERROR(IF(C62&lt;=Rates!$O$1,(D62+Z62)/AA62,0),"")</f>
        <v>0</v>
      </c>
    </row>
    <row r="63" spans="1:28" x14ac:dyDescent="0.25">
      <c r="A63" s="17" t="str">
        <f>IF(A62&lt;&gt;"",IF(A62+1&lt;=(Rates!$O$1-'ورود اطلاعات'!$E$6),A62+1,""),"")</f>
        <v/>
      </c>
      <c r="B63" s="17" t="str">
        <f>IF(C63&lt;=Rates!$O$1,B62+1,"")</f>
        <v/>
      </c>
      <c r="C63" s="17" t="str">
        <f>IF(C62&lt;Rates!$O$1,C62+1,"")</f>
        <v/>
      </c>
      <c r="D63" s="18">
        <f>IF(C63&lt;=Rates!$O$1,D62*(1+'ورود اطلاعات'!$E$8),0)</f>
        <v>0</v>
      </c>
      <c r="E63" s="18">
        <f>IF(C63&lt;=Rates!$O$1,INT(D63+E62),0)</f>
        <v>0</v>
      </c>
      <c r="F63" s="18">
        <f>IF(C63&lt;=Rates!$O$1,ROUND(F62*(1+'ورود اطلاعات'!$E$9),0),0)</f>
        <v>0</v>
      </c>
      <c r="G63" s="18">
        <f>IF(A63&lt;=5,IF(C63&lt;=Rates!$O$1,$D$3*5/100,0),0)</f>
        <v>0</v>
      </c>
      <c r="H63" s="18">
        <f>IF(A63&lt;=5,ROUND(F63*Rates!$O$9,0),0)</f>
        <v>0</v>
      </c>
      <c r="I63" s="18">
        <f>IF(C63&lt;=Rates!$O$1,D63*Rates!$O$10,0)</f>
        <v>0</v>
      </c>
      <c r="J63" s="18">
        <f>IF(C63&lt;=Rates!$O$1,F63*(VLOOKUP(C63,Rates!$A$1:$D$108,4,FALSE))/(1.1^0.5),0)</f>
        <v>0</v>
      </c>
      <c r="K63" s="18">
        <f>IF(C63&lt;=Rates!$O$1,D63-(G63+H63+I63+J63),0)</f>
        <v>0</v>
      </c>
      <c r="L63" s="18">
        <f>IF(C63&lt;=Rates!$O$1,(K63+L62)*(1+(IF(B63&lt;=2,Rates!$O$5,IF(B63&lt;=4,Rates!$O$6,Rates!$O$7)))),0)</f>
        <v>0</v>
      </c>
      <c r="M63" s="18">
        <f>IF(C63&lt;=Rates!$O$1,(B63*D63)+(D63*'ورود اطلاعات'!$E$19/12),0)</f>
        <v>0</v>
      </c>
      <c r="N63" s="18">
        <f>IF(C63&lt;=Rates!$O$1,K63*(1+IF(A63&lt;=2,Rates!$O$5,IF(A63&lt;=4,Rates!$O$6,Rates!$O$7))+(Rates!$O$8-IF(A63&lt;=2,Rates!$O$5,IF(A63&lt;=4,Rates!$O$6,Rates!$O$7)))*(VLOOKUP('ورود اطلاعات'!$E$20,Rates!$V$1:$Y$5,4,FALSE)))+N62*(1+IF(A63&lt;=2,Rates!$O$5,IF(A63&lt;=4,Rates!$O$6,Rates!$O$7))+(Rates!$O$8-IF(A63&lt;=2,Rates!$O$5,IF(A63&lt;=4,Rates!$O$6,Rates!$O$7)))),0)</f>
        <v>0</v>
      </c>
      <c r="O63" s="18">
        <f t="shared" si="1"/>
        <v>0</v>
      </c>
      <c r="P63" s="18">
        <f>IF(A63&lt;=7,VLOOKUP(A63,Rates!$K$1:$L$8,2,FALSE),1)*L63</f>
        <v>0</v>
      </c>
      <c r="Q63" s="18">
        <f>IF('ورود اطلاعات'!$E$16="بله",IF(C63&lt;=Rates!$O$4,D63*'ورود اطلاعات'!$H$16,0),0)</f>
        <v>0</v>
      </c>
      <c r="R63" s="18">
        <f>IF('ورود اطلاعات'!$E$15="بله",IF(C63&lt;=Rates!$O$3,'ورود اطلاعات'!$H$15*D63,0),0)</f>
        <v>0</v>
      </c>
      <c r="S63" s="18">
        <f>IF(AND(C63&gt;=0,C63&lt;=Rates!$O$2,F63&gt;0),MIN(S62*(1+'ورود اطلاعات'!$E$8),IF('ورود اطلاعات'!$H$22="معمولی", 300000000,5000000000)),0)</f>
        <v>0</v>
      </c>
      <c r="T63" s="18">
        <f>IF(AND(C63&lt;=Rates!$O$11,'ورود اطلاعات'!$E$16="بله"),'ورود اطلاعات'!$N$23*('Offline Table'!Q63),0)</f>
        <v>0</v>
      </c>
      <c r="U63" s="18">
        <f>IFERROR(IF(C63&lt;=Rates!$O$1,0.8/1000,0)*Q63*(1+VLOOKUP('ورود اطلاعات'!$E$25,Rates!$Q$1:$T$9,4,FALSE)/100),"")</f>
        <v>0</v>
      </c>
      <c r="V63" s="18">
        <f>IFERROR(IF(C63&lt;=Rates!$O$2,0.8/1000,0)*R63*(1+VLOOKUP('ورود اطلاعات'!$E$25,Rates!$Q$1:$T$9,4,FALSE)/100),"")</f>
        <v>0</v>
      </c>
      <c r="W63" s="18">
        <f>IF(AND(C63&lt;=Rates!$O$2,'ورود اطلاعات'!$H$22="معمولی"),VLOOKUP(C63,Rates!$A$1:$E$108,5,0),IF(AND(C63&lt;=Rates!$O$2,'ورود اطلاعات'!$H$22="پایه"),VLOOKUP(C63,Rates!$A$1:$F$108,6,0),IF(AND(C63&lt;=Rates!$O$2,'ورود اطلاعات'!$H$22="آسایش "),VLOOKUP(C63,Rates!$A$1:$G$108,7,0),IF(AND(C63&lt;=Rates!$O$2,'ورود اطلاعات'!$H$22="ممتاز"),VLOOKUP(C63,Rates!$A$1:$H$108,8,0),0))))*S63/1000000*(1+'ورود اطلاعات'!$E$22)</f>
        <v>0</v>
      </c>
      <c r="X63" s="18">
        <f>IFERROR(IF(C63&lt;=Rates!$O$11,0.8/1000*T63*(1+VLOOKUP('ورود اطلاعات'!$E$25,Rates!$Q$1:$T$9,4,FALSE)/100),0),"")</f>
        <v>0</v>
      </c>
      <c r="Y63" s="18">
        <f>(D63+U63+V63+W63+X63)*VLOOKUP('ورود اطلاعات'!$E$20,Rates!$V$1:$W$5,2,FALSE)</f>
        <v>0</v>
      </c>
      <c r="Z63" s="18">
        <f t="shared" si="0"/>
        <v>0</v>
      </c>
      <c r="AA63" s="18">
        <f>IFERROR(IF(C63&lt;=Rates!$O$1,VLOOKUP('ورود اطلاعات'!$E$20,Rates!$V$1:$X$5,3,FALSE),0),"")</f>
        <v>0</v>
      </c>
      <c r="AB63" s="18">
        <f>IFERROR(IF(C63&lt;=Rates!$O$1,(D63+Z63)/AA63,0),"")</f>
        <v>0</v>
      </c>
    </row>
    <row r="64" spans="1:28" x14ac:dyDescent="0.25">
      <c r="A64" s="17" t="str">
        <f>IF(A63&lt;&gt;"",IF(A63+1&lt;=(Rates!$O$1-'ورود اطلاعات'!$E$6),A63+1,""),"")</f>
        <v/>
      </c>
      <c r="B64" s="17" t="str">
        <f>IF(C64&lt;=Rates!$O$1,B63+1,"")</f>
        <v/>
      </c>
      <c r="C64" s="17" t="str">
        <f>IF(C63&lt;Rates!$O$1,C63+1,"")</f>
        <v/>
      </c>
      <c r="D64" s="18">
        <f>IF(C64&lt;=Rates!$O$1,D63*(1+'ورود اطلاعات'!$E$8),0)</f>
        <v>0</v>
      </c>
      <c r="E64" s="18">
        <f>IF(C64&lt;=Rates!$O$1,INT(D64+E63),0)</f>
        <v>0</v>
      </c>
      <c r="F64" s="18">
        <f>IF(C64&lt;=Rates!$O$1,ROUND(F63*(1+'ورود اطلاعات'!$E$9),0),0)</f>
        <v>0</v>
      </c>
      <c r="G64" s="18">
        <f>IF(A64&lt;=5,IF(C64&lt;=Rates!$O$1,$D$3*5/100,0),0)</f>
        <v>0</v>
      </c>
      <c r="H64" s="18">
        <f>IF(A64&lt;=5,ROUND(F64*Rates!$O$9,0),0)</f>
        <v>0</v>
      </c>
      <c r="I64" s="18">
        <f>IF(C64&lt;=Rates!$O$1,D64*Rates!$O$10,0)</f>
        <v>0</v>
      </c>
      <c r="J64" s="18">
        <f>IF(C64&lt;=Rates!$O$1,F64*(VLOOKUP(C64,Rates!$A$1:$D$108,4,FALSE))/(1.1^0.5),0)</f>
        <v>0</v>
      </c>
      <c r="K64" s="18">
        <f>IF(C64&lt;=Rates!$O$1,D64-(G64+H64+I64+J64),0)</f>
        <v>0</v>
      </c>
      <c r="L64" s="18">
        <f>IF(C64&lt;=Rates!$O$1,(K64+L63)*(1+(IF(B64&lt;=2,Rates!$O$5,IF(B64&lt;=4,Rates!$O$6,Rates!$O$7)))),0)</f>
        <v>0</v>
      </c>
      <c r="M64" s="18">
        <f>IF(C64&lt;=Rates!$O$1,(B64*D64)+(D64*'ورود اطلاعات'!$E$19/12),0)</f>
        <v>0</v>
      </c>
      <c r="N64" s="18">
        <f>IF(C64&lt;=Rates!$O$1,K64*(1+IF(A64&lt;=2,Rates!$O$5,IF(A64&lt;=4,Rates!$O$6,Rates!$O$7))+(Rates!$O$8-IF(A64&lt;=2,Rates!$O$5,IF(A64&lt;=4,Rates!$O$6,Rates!$O$7)))*(VLOOKUP('ورود اطلاعات'!$E$20,Rates!$V$1:$Y$5,4,FALSE)))+N63*(1+IF(A64&lt;=2,Rates!$O$5,IF(A64&lt;=4,Rates!$O$6,Rates!$O$7))+(Rates!$O$8-IF(A64&lt;=2,Rates!$O$5,IF(A64&lt;=4,Rates!$O$6,Rates!$O$7)))),0)</f>
        <v>0</v>
      </c>
      <c r="O64" s="18">
        <f t="shared" si="1"/>
        <v>0</v>
      </c>
      <c r="P64" s="18">
        <f>IF(A64&lt;=7,VLOOKUP(A64,Rates!$K$1:$L$8,2,FALSE),1)*L64</f>
        <v>0</v>
      </c>
      <c r="Q64" s="18">
        <f>IF('ورود اطلاعات'!$E$16="بله",IF(C64&lt;=Rates!$O$4,D64*'ورود اطلاعات'!$H$16,0),0)</f>
        <v>0</v>
      </c>
      <c r="R64" s="18">
        <f>IF('ورود اطلاعات'!$E$15="بله",IF(C64&lt;=Rates!$O$3,'ورود اطلاعات'!$H$15*D64,0),0)</f>
        <v>0</v>
      </c>
      <c r="S64" s="18">
        <f>IF(AND(C64&gt;=0,C64&lt;=Rates!$O$2,F64&gt;0),MIN(S63*(1+'ورود اطلاعات'!$E$8),IF('ورود اطلاعات'!$H$22="معمولی", 300000000,5000000000)),0)</f>
        <v>0</v>
      </c>
      <c r="T64" s="18">
        <f>IF(AND(C64&lt;=Rates!$O$11,'ورود اطلاعات'!$E$16="بله"),'ورود اطلاعات'!$N$23*('Offline Table'!Q64),0)</f>
        <v>0</v>
      </c>
      <c r="U64" s="18">
        <f>IFERROR(IF(C64&lt;=Rates!$O$1,0.8/1000,0)*Q64*(1+VLOOKUP('ورود اطلاعات'!$E$25,Rates!$Q$1:$T$9,4,FALSE)/100),"")</f>
        <v>0</v>
      </c>
      <c r="V64" s="18">
        <f>IFERROR(IF(C64&lt;=Rates!$O$2,0.8/1000,0)*R64*(1+VLOOKUP('ورود اطلاعات'!$E$25,Rates!$Q$1:$T$9,4,FALSE)/100),"")</f>
        <v>0</v>
      </c>
      <c r="W64" s="18">
        <f>IF(AND(C64&lt;=Rates!$O$2,'ورود اطلاعات'!$H$22="معمولی"),VLOOKUP(C64,Rates!$A$1:$E$108,5,0),IF(AND(C64&lt;=Rates!$O$2,'ورود اطلاعات'!$H$22="پایه"),VLOOKUP(C64,Rates!$A$1:$F$108,6,0),IF(AND(C64&lt;=Rates!$O$2,'ورود اطلاعات'!$H$22="آسایش "),VLOOKUP(C64,Rates!$A$1:$G$108,7,0),IF(AND(C64&lt;=Rates!$O$2,'ورود اطلاعات'!$H$22="ممتاز"),VLOOKUP(C64,Rates!$A$1:$H$108,8,0),0))))*S64/1000000*(1+'ورود اطلاعات'!$E$22)</f>
        <v>0</v>
      </c>
      <c r="X64" s="18">
        <f>IFERROR(IF(C64&lt;=Rates!$O$11,0.8/1000*T64*(1+VLOOKUP('ورود اطلاعات'!$E$25,Rates!$Q$1:$T$9,4,FALSE)/100),0),"")</f>
        <v>0</v>
      </c>
      <c r="Y64" s="18">
        <f>(D64+U64+V64+W64+X64)*VLOOKUP('ورود اطلاعات'!$E$20,Rates!$V$1:$W$5,2,FALSE)</f>
        <v>0</v>
      </c>
      <c r="Z64" s="18">
        <f t="shared" si="0"/>
        <v>0</v>
      </c>
      <c r="AA64" s="18">
        <f>IFERROR(IF(C64&lt;=Rates!$O$1,VLOOKUP('ورود اطلاعات'!$E$20,Rates!$V$1:$X$5,3,FALSE),0),"")</f>
        <v>0</v>
      </c>
      <c r="AB64" s="18">
        <f>IFERROR(IF(C64&lt;=Rates!$O$1,(D64+Z64)/AA64,0),"")</f>
        <v>0</v>
      </c>
    </row>
    <row r="65" spans="1:28" x14ac:dyDescent="0.25">
      <c r="A65" s="17" t="str">
        <f>IF(A64&lt;&gt;"",IF(A64+1&lt;=(Rates!$O$1-'ورود اطلاعات'!$E$6),A64+1,""),"")</f>
        <v/>
      </c>
      <c r="B65" s="17" t="str">
        <f>IF(C65&lt;=Rates!$O$1,B64+1,"")</f>
        <v/>
      </c>
      <c r="C65" s="17" t="str">
        <f>IF(C64&lt;Rates!$O$1,C64+1,"")</f>
        <v/>
      </c>
      <c r="D65" s="18">
        <f>IF(C65&lt;=Rates!$O$1,D64*(1+'ورود اطلاعات'!$E$8),0)</f>
        <v>0</v>
      </c>
      <c r="E65" s="18">
        <f>IF(C65&lt;=Rates!$O$1,INT(D65+E64),0)</f>
        <v>0</v>
      </c>
      <c r="F65" s="18">
        <f>IF(C65&lt;=Rates!$O$1,ROUND(F64*(1+'ورود اطلاعات'!$E$9),0),0)</f>
        <v>0</v>
      </c>
      <c r="G65" s="18">
        <f>IF(A65&lt;=5,IF(C65&lt;=Rates!$O$1,$D$3*5/100,0),0)</f>
        <v>0</v>
      </c>
      <c r="H65" s="18">
        <f>IF(A65&lt;=5,ROUND(F65*Rates!$O$9,0),0)</f>
        <v>0</v>
      </c>
      <c r="I65" s="18">
        <f>IF(C65&lt;=Rates!$O$1,D65*Rates!$O$10,0)</f>
        <v>0</v>
      </c>
      <c r="J65" s="18">
        <f>IF(C65&lt;=Rates!$O$1,F65*(VLOOKUP(C65,Rates!$A$1:$D$108,4,FALSE))/(1.1^0.5),0)</f>
        <v>0</v>
      </c>
      <c r="K65" s="18">
        <f>IF(C65&lt;=Rates!$O$1,D65-(G65+H65+I65+J65),0)</f>
        <v>0</v>
      </c>
      <c r="L65" s="18">
        <f>IF(C65&lt;=Rates!$O$1,(K65+L64)*(1+(IF(B65&lt;=2,Rates!$O$5,IF(B65&lt;=4,Rates!$O$6,Rates!$O$7)))),0)</f>
        <v>0</v>
      </c>
      <c r="M65" s="18">
        <f>IF(C65&lt;=Rates!$O$1,(B65*D65)+(D65*'ورود اطلاعات'!$E$19/12),0)</f>
        <v>0</v>
      </c>
      <c r="N65" s="18">
        <f>IF(C65&lt;=Rates!$O$1,K65*(1+IF(A65&lt;=2,Rates!$O$5,IF(A65&lt;=4,Rates!$O$6,Rates!$O$7))+(Rates!$O$8-IF(A65&lt;=2,Rates!$O$5,IF(A65&lt;=4,Rates!$O$6,Rates!$O$7)))*(VLOOKUP('ورود اطلاعات'!$E$20,Rates!$V$1:$Y$5,4,FALSE)))+N64*(1+IF(A65&lt;=2,Rates!$O$5,IF(A65&lt;=4,Rates!$O$6,Rates!$O$7))+(Rates!$O$8-IF(A65&lt;=2,Rates!$O$5,IF(A65&lt;=4,Rates!$O$6,Rates!$O$7)))),0)</f>
        <v>0</v>
      </c>
      <c r="O65" s="18">
        <f t="shared" si="1"/>
        <v>0</v>
      </c>
      <c r="P65" s="18">
        <f>IF(A65&lt;=7,VLOOKUP(A65,Rates!$K$1:$L$8,2,FALSE),1)*L65</f>
        <v>0</v>
      </c>
      <c r="Q65" s="18">
        <f>IF('ورود اطلاعات'!$E$16="بله",IF(C65&lt;=Rates!$O$4,D65*'ورود اطلاعات'!$H$16,0),0)</f>
        <v>0</v>
      </c>
      <c r="R65" s="18">
        <f>IF('ورود اطلاعات'!$E$15="بله",IF(C65&lt;=Rates!$O$3,'ورود اطلاعات'!$H$15*D65,0),0)</f>
        <v>0</v>
      </c>
      <c r="S65" s="18">
        <f>IF(AND(C65&gt;=0,C65&lt;=Rates!$O$2,F65&gt;0),MIN(S64*(1+'ورود اطلاعات'!$E$8),IF('ورود اطلاعات'!$H$22="معمولی", 300000000,5000000000)),0)</f>
        <v>0</v>
      </c>
      <c r="T65" s="18">
        <f>IF(AND(C65&lt;=Rates!$O$11,'ورود اطلاعات'!$E$16="بله"),'ورود اطلاعات'!$N$23*('Offline Table'!Q65),0)</f>
        <v>0</v>
      </c>
      <c r="U65" s="18">
        <f>IFERROR(IF(C65&lt;=Rates!$O$1,0.8/1000,0)*Q65*(1+VLOOKUP('ورود اطلاعات'!$E$25,Rates!$Q$1:$T$9,4,FALSE)/100),"")</f>
        <v>0</v>
      </c>
      <c r="V65" s="18">
        <f>IFERROR(IF(C65&lt;=Rates!$O$2,0.8/1000,0)*R65*(1+VLOOKUP('ورود اطلاعات'!$E$25,Rates!$Q$1:$T$9,4,FALSE)/100),"")</f>
        <v>0</v>
      </c>
      <c r="W65" s="18">
        <f>IF(AND(C65&lt;=Rates!$O$2,'ورود اطلاعات'!$H$22="معمولی"),VLOOKUP(C65,Rates!$A$1:$E$108,5,0),IF(AND(C65&lt;=Rates!$O$2,'ورود اطلاعات'!$H$22="پایه"),VLOOKUP(C65,Rates!$A$1:$F$108,6,0),IF(AND(C65&lt;=Rates!$O$2,'ورود اطلاعات'!$H$22="آسایش "),VLOOKUP(C65,Rates!$A$1:$G$108,7,0),IF(AND(C65&lt;=Rates!$O$2,'ورود اطلاعات'!$H$22="ممتاز"),VLOOKUP(C65,Rates!$A$1:$H$108,8,0),0))))*S65/1000000*(1+'ورود اطلاعات'!$E$22)</f>
        <v>0</v>
      </c>
      <c r="X65" s="18">
        <f>IFERROR(IF(C65&lt;=Rates!$O$11,0.8/1000*T65*(1+VLOOKUP('ورود اطلاعات'!$E$25,Rates!$Q$1:$T$9,4,FALSE)/100),0),"")</f>
        <v>0</v>
      </c>
      <c r="Y65" s="18">
        <f>(D65+U65+V65+W65+X65)*VLOOKUP('ورود اطلاعات'!$E$20,Rates!$V$1:$W$5,2,FALSE)</f>
        <v>0</v>
      </c>
      <c r="Z65" s="18">
        <f t="shared" si="0"/>
        <v>0</v>
      </c>
      <c r="AA65" s="18">
        <f>IFERROR(IF(C65&lt;=Rates!$O$1,VLOOKUP('ورود اطلاعات'!$E$20,Rates!$V$1:$X$5,3,FALSE),0),"")</f>
        <v>0</v>
      </c>
      <c r="AB65" s="18">
        <f>IFERROR(IF(C65&lt;=Rates!$O$1,(D65+Z65)/AA65,0),"")</f>
        <v>0</v>
      </c>
    </row>
    <row r="66" spans="1:28" x14ac:dyDescent="0.25">
      <c r="A66" s="17" t="str">
        <f>IF(A65&lt;&gt;"",IF(A65+1&lt;=(Rates!$O$1-'ورود اطلاعات'!$E$6),A65+1,""),"")</f>
        <v/>
      </c>
      <c r="B66" s="17" t="str">
        <f>IF(C66&lt;=Rates!$O$1,B65+1,"")</f>
        <v/>
      </c>
      <c r="C66" s="17" t="str">
        <f>IF(C65&lt;Rates!$O$1,C65+1,"")</f>
        <v/>
      </c>
      <c r="D66" s="18">
        <f>IF(C66&lt;=Rates!$O$1,D65*(1+'ورود اطلاعات'!$E$8),0)</f>
        <v>0</v>
      </c>
      <c r="E66" s="18">
        <f>IF(C66&lt;=Rates!$O$1,INT(D66+E65),0)</f>
        <v>0</v>
      </c>
      <c r="F66" s="18">
        <f>IF(C66&lt;=Rates!$O$1,ROUND(F65*(1+'ورود اطلاعات'!$E$9),0),0)</f>
        <v>0</v>
      </c>
      <c r="G66" s="18">
        <f>IF(A66&lt;=5,IF(C66&lt;=Rates!$O$1,$D$3*5/100,0),0)</f>
        <v>0</v>
      </c>
      <c r="H66" s="18">
        <f>IF(A66&lt;=5,ROUND(F66*Rates!$O$9,0),0)</f>
        <v>0</v>
      </c>
      <c r="I66" s="18">
        <f>IF(C66&lt;=Rates!$O$1,D66*Rates!$O$10,0)</f>
        <v>0</v>
      </c>
      <c r="J66" s="18">
        <f>IF(C66&lt;=Rates!$O$1,F66*(VLOOKUP(C66,Rates!$A$1:$D$108,4,FALSE))/(1.1^0.5),0)</f>
        <v>0</v>
      </c>
      <c r="K66" s="18">
        <f>IF(C66&lt;=Rates!$O$1,D66-(G66+H66+I66+J66),0)</f>
        <v>0</v>
      </c>
      <c r="L66" s="18">
        <f>IF(C66&lt;=Rates!$O$1,(K66+L65)*(1+(IF(B66&lt;=2,Rates!$O$5,IF(B66&lt;=4,Rates!$O$6,Rates!$O$7)))),0)</f>
        <v>0</v>
      </c>
      <c r="M66" s="18">
        <f>IF(C66&lt;=Rates!$O$1,(B66*D66)+(D66*'ورود اطلاعات'!$E$19/12),0)</f>
        <v>0</v>
      </c>
      <c r="N66" s="18">
        <f>IF(C66&lt;=Rates!$O$1,K66*(1+IF(A66&lt;=2,Rates!$O$5,IF(A66&lt;=4,Rates!$O$6,Rates!$O$7))+(Rates!$O$8-IF(A66&lt;=2,Rates!$O$5,IF(A66&lt;=4,Rates!$O$6,Rates!$O$7)))*(VLOOKUP('ورود اطلاعات'!$E$20,Rates!$V$1:$Y$5,4,FALSE)))+N65*(1+IF(A66&lt;=2,Rates!$O$5,IF(A66&lt;=4,Rates!$O$6,Rates!$O$7))+(Rates!$O$8-IF(A66&lt;=2,Rates!$O$5,IF(A66&lt;=4,Rates!$O$6,Rates!$O$7)))),0)</f>
        <v>0</v>
      </c>
      <c r="O66" s="18">
        <f t="shared" si="1"/>
        <v>0</v>
      </c>
      <c r="P66" s="18">
        <f>IF(A66&lt;=7,VLOOKUP(A66,Rates!$K$1:$L$8,2,FALSE),1)*L66</f>
        <v>0</v>
      </c>
      <c r="Q66" s="18">
        <f>IF('ورود اطلاعات'!$E$16="بله",IF(C66&lt;=Rates!$O$4,D66*'ورود اطلاعات'!$H$16,0),0)</f>
        <v>0</v>
      </c>
      <c r="R66" s="18">
        <f>IF('ورود اطلاعات'!$E$15="بله",IF(C66&lt;=Rates!$O$3,'ورود اطلاعات'!$H$15*D66,0),0)</f>
        <v>0</v>
      </c>
      <c r="S66" s="18">
        <f>IF(AND(C66&gt;=0,C66&lt;=Rates!$O$2,F66&gt;0),MIN(S65*(1+'ورود اطلاعات'!$E$8),IF('ورود اطلاعات'!$H$22="معمولی", 300000000,5000000000)),0)</f>
        <v>0</v>
      </c>
      <c r="T66" s="18">
        <f>IF(AND(C66&lt;=Rates!$O$11,'ورود اطلاعات'!$E$16="بله"),'ورود اطلاعات'!$N$23*('Offline Table'!Q66),0)</f>
        <v>0</v>
      </c>
      <c r="U66" s="18">
        <f>IFERROR(IF(C66&lt;=Rates!$O$1,0.8/1000,0)*Q66*(1+VLOOKUP('ورود اطلاعات'!$E$25,Rates!$Q$1:$T$9,4,FALSE)/100),"")</f>
        <v>0</v>
      </c>
      <c r="V66" s="18">
        <f>IFERROR(IF(C66&lt;=Rates!$O$2,0.8/1000,0)*R66*(1+VLOOKUP('ورود اطلاعات'!$E$25,Rates!$Q$1:$T$9,4,FALSE)/100),"")</f>
        <v>0</v>
      </c>
      <c r="W66" s="18">
        <f>IF(AND(C66&lt;=Rates!$O$2,'ورود اطلاعات'!$H$22="معمولی"),VLOOKUP(C66,Rates!$A$1:$E$108,5,0),IF(AND(C66&lt;=Rates!$O$2,'ورود اطلاعات'!$H$22="پایه"),VLOOKUP(C66,Rates!$A$1:$F$108,6,0),IF(AND(C66&lt;=Rates!$O$2,'ورود اطلاعات'!$H$22="آسایش "),VLOOKUP(C66,Rates!$A$1:$G$108,7,0),IF(AND(C66&lt;=Rates!$O$2,'ورود اطلاعات'!$H$22="ممتاز"),VLOOKUP(C66,Rates!$A$1:$H$108,8,0),0))))*S66/1000000*(1+'ورود اطلاعات'!$E$22)</f>
        <v>0</v>
      </c>
      <c r="X66" s="18">
        <f>IFERROR(IF(C66&lt;=Rates!$O$11,0.8/1000*T66*(1+VLOOKUP('ورود اطلاعات'!$E$25,Rates!$Q$1:$T$9,4,FALSE)/100),0),"")</f>
        <v>0</v>
      </c>
      <c r="Y66" s="18">
        <f>(D66+U66+V66+W66+X66)*VLOOKUP('ورود اطلاعات'!$E$20,Rates!$V$1:$W$5,2,FALSE)</f>
        <v>0</v>
      </c>
      <c r="Z66" s="18">
        <f t="shared" si="0"/>
        <v>0</v>
      </c>
      <c r="AA66" s="18">
        <f>IFERROR(IF(C66&lt;=Rates!$O$1,VLOOKUP('ورود اطلاعات'!$E$20,Rates!$V$1:$X$5,3,FALSE),0),"")</f>
        <v>0</v>
      </c>
      <c r="AB66" s="18">
        <f>IFERROR(IF(C66&lt;=Rates!$O$1,(D66+Z66)/AA66,0),"")</f>
        <v>0</v>
      </c>
    </row>
    <row r="67" spans="1:28" x14ac:dyDescent="0.25">
      <c r="A67" s="17" t="str">
        <f>IF(A66&lt;&gt;"",IF(A66+1&lt;=(Rates!$O$1-'ورود اطلاعات'!$E$6),A66+1,""),"")</f>
        <v/>
      </c>
      <c r="B67" s="17" t="str">
        <f>IF(C67&lt;=Rates!$O$1,B66+1,"")</f>
        <v/>
      </c>
      <c r="C67" s="17" t="str">
        <f>IF(C66&lt;Rates!$O$1,C66+1,"")</f>
        <v/>
      </c>
      <c r="D67" s="18">
        <f>IF(C67&lt;=Rates!$O$1,D66*(1+'ورود اطلاعات'!$E$8),0)</f>
        <v>0</v>
      </c>
      <c r="E67" s="18">
        <f>IF(C67&lt;=Rates!$O$1,INT(D67+E66),0)</f>
        <v>0</v>
      </c>
      <c r="F67" s="18">
        <f>IF(C67&lt;=Rates!$O$1,ROUND(F66*(1+'ورود اطلاعات'!$E$9),0),0)</f>
        <v>0</v>
      </c>
      <c r="G67" s="18">
        <f>IF(A67&lt;=5,IF(C67&lt;=Rates!$O$1,$D$3*5/100,0),0)</f>
        <v>0</v>
      </c>
      <c r="H67" s="18">
        <f>IF(A67&lt;=5,ROUND(F67*Rates!$O$9,0),0)</f>
        <v>0</v>
      </c>
      <c r="I67" s="18">
        <f>IF(C67&lt;=Rates!$O$1,D67*Rates!$O$10,0)</f>
        <v>0</v>
      </c>
      <c r="J67" s="18">
        <f>IF(C67&lt;=Rates!$O$1,F67*(VLOOKUP(C67,Rates!$A$1:$D$108,4,FALSE))/(1.1^0.5),0)</f>
        <v>0</v>
      </c>
      <c r="K67" s="18">
        <f>IF(C67&lt;=Rates!$O$1,D67-(G67+H67+I67+J67),0)</f>
        <v>0</v>
      </c>
      <c r="L67" s="18">
        <f>IF(C67&lt;=Rates!$O$1,(K67+L66)*(1+(IF(B67&lt;=2,Rates!$O$5,IF(B67&lt;=4,Rates!$O$6,Rates!$O$7)))),0)</f>
        <v>0</v>
      </c>
      <c r="M67" s="18">
        <f>IF(C67&lt;=Rates!$O$1,(B67*D67)+(D67*'ورود اطلاعات'!$E$19/12),0)</f>
        <v>0</v>
      </c>
      <c r="N67" s="18">
        <f>IF(C67&lt;=Rates!$O$1,K67*(1+IF(A67&lt;=2,Rates!$O$5,IF(A67&lt;=4,Rates!$O$6,Rates!$O$7))+(Rates!$O$8-IF(A67&lt;=2,Rates!$O$5,IF(A67&lt;=4,Rates!$O$6,Rates!$O$7)))*(VLOOKUP('ورود اطلاعات'!$E$20,Rates!$V$1:$Y$5,4,FALSE)))+N66*(1+IF(A67&lt;=2,Rates!$O$5,IF(A67&lt;=4,Rates!$O$6,Rates!$O$7))+(Rates!$O$8-IF(A67&lt;=2,Rates!$O$5,IF(A67&lt;=4,Rates!$O$6,Rates!$O$7)))),0)</f>
        <v>0</v>
      </c>
      <c r="O67" s="18">
        <f t="shared" si="1"/>
        <v>0</v>
      </c>
      <c r="P67" s="18">
        <f>IF(A67&lt;=7,VLOOKUP(A67,Rates!$K$1:$L$8,2,FALSE),1)*L67</f>
        <v>0</v>
      </c>
      <c r="Q67" s="18">
        <f>IF('ورود اطلاعات'!$E$16="بله",IF(C67&lt;=Rates!$O$4,D67*'ورود اطلاعات'!$H$16,0),0)</f>
        <v>0</v>
      </c>
      <c r="R67" s="18">
        <f>IF('ورود اطلاعات'!$E$15="بله",IF(C67&lt;=Rates!$O$3,'ورود اطلاعات'!$H$15*D67,0),0)</f>
        <v>0</v>
      </c>
      <c r="S67" s="18">
        <f>IF(AND(C67&gt;=0,C67&lt;=Rates!$O$2,F67&gt;0),MIN(S66*(1+'ورود اطلاعات'!$E$8),IF('ورود اطلاعات'!$H$22="معمولی", 300000000,5000000000)),0)</f>
        <v>0</v>
      </c>
      <c r="T67" s="18">
        <f>IF(AND(C67&lt;=Rates!$O$11,'ورود اطلاعات'!$E$16="بله"),'ورود اطلاعات'!$N$23*('Offline Table'!Q67),0)</f>
        <v>0</v>
      </c>
      <c r="U67" s="18">
        <f>IFERROR(IF(C67&lt;=Rates!$O$1,0.8/1000,0)*Q67*(1+VLOOKUP('ورود اطلاعات'!$E$25,Rates!$Q$1:$T$9,4,FALSE)/100),"")</f>
        <v>0</v>
      </c>
      <c r="V67" s="18">
        <f>IFERROR(IF(C67&lt;=Rates!$O$2,0.8/1000,0)*R67*(1+VLOOKUP('ورود اطلاعات'!$E$25,Rates!$Q$1:$T$9,4,FALSE)/100),"")</f>
        <v>0</v>
      </c>
      <c r="W67" s="18">
        <f>IF(AND(C67&lt;=Rates!$O$2,'ورود اطلاعات'!$H$22="معمولی"),VLOOKUP(C67,Rates!$A$1:$E$108,5,0),IF(AND(C67&lt;=Rates!$O$2,'ورود اطلاعات'!$H$22="پایه"),VLOOKUP(C67,Rates!$A$1:$F$108,6,0),IF(AND(C67&lt;=Rates!$O$2,'ورود اطلاعات'!$H$22="آسایش "),VLOOKUP(C67,Rates!$A$1:$G$108,7,0),IF(AND(C67&lt;=Rates!$O$2,'ورود اطلاعات'!$H$22="ممتاز"),VLOOKUP(C67,Rates!$A$1:$H$108,8,0),0))))*S67/1000000*(1+'ورود اطلاعات'!$E$22)</f>
        <v>0</v>
      </c>
      <c r="X67" s="18">
        <f>IFERROR(IF(C67&lt;=Rates!$O$11,0.8/1000*T67*(1+VLOOKUP('ورود اطلاعات'!$E$25,Rates!$Q$1:$T$9,4,FALSE)/100),0),"")</f>
        <v>0</v>
      </c>
      <c r="Y67" s="18">
        <f>(D67+U67+V67+W67+X67)*VLOOKUP('ورود اطلاعات'!$E$20,Rates!$V$1:$W$5,2,FALSE)</f>
        <v>0</v>
      </c>
      <c r="Z67" s="18">
        <f t="shared" si="0"/>
        <v>0</v>
      </c>
      <c r="AA67" s="18">
        <f>IFERROR(IF(C67&lt;=Rates!$O$1,VLOOKUP('ورود اطلاعات'!$E$20,Rates!$V$1:$X$5,3,FALSE),0),"")</f>
        <v>0</v>
      </c>
      <c r="AB67" s="18">
        <f>IFERROR(IF(C67&lt;=Rates!$O$1,(D67+Z67)/AA67,0),"")</f>
        <v>0</v>
      </c>
    </row>
    <row r="68" spans="1:28" x14ac:dyDescent="0.25">
      <c r="A68" s="17" t="str">
        <f>IF(A67&lt;&gt;"",IF(A67+1&lt;=(Rates!$O$1-'ورود اطلاعات'!$E$6),A67+1,""),"")</f>
        <v/>
      </c>
      <c r="B68" s="17" t="str">
        <f>IF(C68&lt;=Rates!$O$1,B67+1,"")</f>
        <v/>
      </c>
      <c r="C68" s="17" t="str">
        <f>IF(C67&lt;Rates!$O$1,C67+1,"")</f>
        <v/>
      </c>
      <c r="D68" s="18">
        <f>IF(C68&lt;=Rates!$O$1,D67*(1+'ورود اطلاعات'!$E$8),0)</f>
        <v>0</v>
      </c>
      <c r="E68" s="18">
        <f>IF(C68&lt;=Rates!$O$1,INT(D68+E67),0)</f>
        <v>0</v>
      </c>
      <c r="F68" s="18">
        <f>IF(C68&lt;=Rates!$O$1,ROUND(F67*(1+'ورود اطلاعات'!$E$9),0),0)</f>
        <v>0</v>
      </c>
      <c r="G68" s="18">
        <f>IF(A68&lt;=5,IF(C68&lt;=Rates!$O$1,$D$3*5/100,0),0)</f>
        <v>0</v>
      </c>
      <c r="H68" s="18">
        <f>IF(A68&lt;=5,ROUND(F68*Rates!$O$9,0),0)</f>
        <v>0</v>
      </c>
      <c r="I68" s="18">
        <f>IF(C68&lt;=Rates!$O$1,D68*Rates!$O$10,0)</f>
        <v>0</v>
      </c>
      <c r="J68" s="18">
        <f>IF(C68&lt;=Rates!$O$1,F68*(VLOOKUP(C68,Rates!$A$1:$D$108,4,FALSE))/(1.1^0.5),0)</f>
        <v>0</v>
      </c>
      <c r="K68" s="18">
        <f>IF(C68&lt;=Rates!$O$1,D68-(G68+H68+I68+J68),0)</f>
        <v>0</v>
      </c>
      <c r="L68" s="18">
        <f>IF(C68&lt;=Rates!$O$1,(K68+L67)*(1+(IF(B68&lt;=2,Rates!$O$5,IF(B68&lt;=4,Rates!$O$6,Rates!$O$7)))),0)</f>
        <v>0</v>
      </c>
      <c r="M68" s="18">
        <f>IF(C68&lt;=Rates!$O$1,(B68*D68)+(D68*'ورود اطلاعات'!$E$19/12),0)</f>
        <v>0</v>
      </c>
      <c r="N68" s="18">
        <f>IF(C68&lt;=Rates!$O$1,K68*(1+IF(A68&lt;=2,Rates!$O$5,IF(A68&lt;=4,Rates!$O$6,Rates!$O$7))+(Rates!$O$8-IF(A68&lt;=2,Rates!$O$5,IF(A68&lt;=4,Rates!$O$6,Rates!$O$7)))*(VLOOKUP('ورود اطلاعات'!$E$20,Rates!$V$1:$Y$5,4,FALSE)))+N67*(1+IF(A68&lt;=2,Rates!$O$5,IF(A68&lt;=4,Rates!$O$6,Rates!$O$7))+(Rates!$O$8-IF(A68&lt;=2,Rates!$O$5,IF(A68&lt;=4,Rates!$O$6,Rates!$O$7)))),0)</f>
        <v>0</v>
      </c>
      <c r="O68" s="18">
        <f t="shared" ref="O68:O82" si="2">IFERROR(MAX(N68-M68,0),"")</f>
        <v>0</v>
      </c>
      <c r="P68" s="18">
        <f>IF(A68&lt;=7,VLOOKUP(A68,Rates!$K$1:$L$8,2,FALSE),1)*L68</f>
        <v>0</v>
      </c>
      <c r="Q68" s="18">
        <f>IF('ورود اطلاعات'!$E$16="بله",IF(C68&lt;=Rates!$O$4,D68*'ورود اطلاعات'!$H$16,0),0)</f>
        <v>0</v>
      </c>
      <c r="R68" s="18">
        <f>IF('ورود اطلاعات'!$E$15="بله",IF(C68&lt;=Rates!$O$3,'ورود اطلاعات'!$H$15*D68,0),0)</f>
        <v>0</v>
      </c>
      <c r="S68" s="18">
        <f>IF(AND(C68&gt;=0,C68&lt;=Rates!$O$2,F68&gt;0),MIN(S67*(1+'ورود اطلاعات'!$E$8),IF('ورود اطلاعات'!$H$22="معمولی", 300000000,5000000000)),0)</f>
        <v>0</v>
      </c>
      <c r="T68" s="18">
        <f>IF(AND(C68&lt;=Rates!$O$11,'ورود اطلاعات'!$E$16="بله"),'ورود اطلاعات'!$N$23*('Offline Table'!Q68),0)</f>
        <v>0</v>
      </c>
      <c r="U68" s="18">
        <f>IFERROR(IF(C68&lt;=Rates!$O$1,0.8/1000,0)*Q68*(1+VLOOKUP('ورود اطلاعات'!$E$25,Rates!$Q$1:$T$9,4,FALSE)/100),"")</f>
        <v>0</v>
      </c>
      <c r="V68" s="18">
        <f>IFERROR(IF(C68&lt;=Rates!$O$2,0.8/1000,0)*R68*(1+VLOOKUP('ورود اطلاعات'!$E$25,Rates!$Q$1:$T$9,4,FALSE)/100),"")</f>
        <v>0</v>
      </c>
      <c r="W68" s="18">
        <f>IF(AND(C68&lt;=Rates!$O$2,'ورود اطلاعات'!$H$22="معمولی"),VLOOKUP(C68,Rates!$A$1:$E$108,5,0),IF(AND(C68&lt;=Rates!$O$2,'ورود اطلاعات'!$H$22="پایه"),VLOOKUP(C68,Rates!$A$1:$F$108,6,0),IF(AND(C68&lt;=Rates!$O$2,'ورود اطلاعات'!$H$22="آسایش "),VLOOKUP(C68,Rates!$A$1:$G$108,7,0),IF(AND(C68&lt;=Rates!$O$2,'ورود اطلاعات'!$H$22="ممتاز"),VLOOKUP(C68,Rates!$A$1:$H$108,8,0),0))))*S68/1000000*(1+'ورود اطلاعات'!$E$22)</f>
        <v>0</v>
      </c>
      <c r="X68" s="18">
        <f>IFERROR(IF(C68&lt;=Rates!$O$11,0.8/1000*T68*(1+VLOOKUP('ورود اطلاعات'!$E$25,Rates!$Q$1:$T$9,4,FALSE)/100),0),"")</f>
        <v>0</v>
      </c>
      <c r="Y68" s="18">
        <f>(D68+U68+V68+W68+X68)*VLOOKUP('ورود اطلاعات'!$E$20,Rates!$V$1:$W$5,2,FALSE)</f>
        <v>0</v>
      </c>
      <c r="Z68" s="18">
        <f t="shared" ref="Z68:Z82" si="3">IFERROR(U68+V68+W68+X68+Y68,"")</f>
        <v>0</v>
      </c>
      <c r="AA68" s="18">
        <f>IFERROR(IF(C68&lt;=Rates!$O$1,VLOOKUP('ورود اطلاعات'!$E$20,Rates!$V$1:$X$5,3,FALSE),0),"")</f>
        <v>0</v>
      </c>
      <c r="AB68" s="18">
        <f>IFERROR(IF(C68&lt;=Rates!$O$1,(D68+Z68)/AA68,0),"")</f>
        <v>0</v>
      </c>
    </row>
    <row r="69" spans="1:28" x14ac:dyDescent="0.25">
      <c r="A69" s="17" t="str">
        <f>IF(A68&lt;&gt;"",IF(A68+1&lt;=(Rates!$O$1-'ورود اطلاعات'!$E$6),A68+1,""),"")</f>
        <v/>
      </c>
      <c r="B69" s="17" t="str">
        <f>IF(C69&lt;=Rates!$O$1,B68+1,"")</f>
        <v/>
      </c>
      <c r="C69" s="17" t="str">
        <f>IF(C68&lt;Rates!$O$1,C68+1,"")</f>
        <v/>
      </c>
      <c r="D69" s="18">
        <f>IF(C69&lt;=Rates!$O$1,D68*(1+'ورود اطلاعات'!$E$8),0)</f>
        <v>0</v>
      </c>
      <c r="E69" s="18">
        <f>IF(C69&lt;=Rates!$O$1,INT(D69+E68),0)</f>
        <v>0</v>
      </c>
      <c r="F69" s="18">
        <f>IF(C69&lt;=Rates!$O$1,ROUND(F68*(1+'ورود اطلاعات'!$E$9),0),0)</f>
        <v>0</v>
      </c>
      <c r="G69" s="18">
        <f>IF(A69&lt;=5,IF(C69&lt;=Rates!$O$1,$D$3*5/100,0),0)</f>
        <v>0</v>
      </c>
      <c r="H69" s="18">
        <f>IF(A69&lt;=5,ROUND(F69*Rates!$O$9,0),0)</f>
        <v>0</v>
      </c>
      <c r="I69" s="18">
        <f>IF(C69&lt;=Rates!$O$1,D69*Rates!$O$10,0)</f>
        <v>0</v>
      </c>
      <c r="J69" s="18">
        <f>IF(C69&lt;=Rates!$O$1,F69*(VLOOKUP(C69,Rates!$A$1:$D$108,4,FALSE))/(1.1^0.5),0)</f>
        <v>0</v>
      </c>
      <c r="K69" s="18">
        <f>IF(C69&lt;=Rates!$O$1,D69-(G69+H69+I69+J69),0)</f>
        <v>0</v>
      </c>
      <c r="L69" s="18">
        <f>IF(C69&lt;=Rates!$O$1,(K69+L68)*(1+(IF(B69&lt;=2,Rates!$O$5,IF(B69&lt;=4,Rates!$O$6,Rates!$O$7)))),0)</f>
        <v>0</v>
      </c>
      <c r="M69" s="18">
        <f>IF(C69&lt;=Rates!$O$1,(B69*D69)+(D69*'ورود اطلاعات'!$E$19/12),0)</f>
        <v>0</v>
      </c>
      <c r="N69" s="18">
        <f>IF(C69&lt;=Rates!$O$1,K69*(1+IF(A69&lt;=2,Rates!$O$5,IF(A69&lt;=4,Rates!$O$6,Rates!$O$7))+(Rates!$O$8-IF(A69&lt;=2,Rates!$O$5,IF(A69&lt;=4,Rates!$O$6,Rates!$O$7)))*(VLOOKUP('ورود اطلاعات'!$E$20,Rates!$V$1:$Y$5,4,FALSE)))+N68*(1+IF(A69&lt;=2,Rates!$O$5,IF(A69&lt;=4,Rates!$O$6,Rates!$O$7))+(Rates!$O$8-IF(A69&lt;=2,Rates!$O$5,IF(A69&lt;=4,Rates!$O$6,Rates!$O$7)))),0)</f>
        <v>0</v>
      </c>
      <c r="O69" s="18">
        <f t="shared" si="2"/>
        <v>0</v>
      </c>
      <c r="P69" s="18">
        <f>IF(A69&lt;=7,VLOOKUP(A69,Rates!$K$1:$L$8,2,FALSE),1)*L69</f>
        <v>0</v>
      </c>
      <c r="Q69" s="18">
        <f>IF('ورود اطلاعات'!$E$16="بله",IF(C69&lt;=Rates!$O$4,D69*'ورود اطلاعات'!$H$16,0),0)</f>
        <v>0</v>
      </c>
      <c r="R69" s="18">
        <f>IF('ورود اطلاعات'!$E$15="بله",IF(C69&lt;=Rates!$O$3,'ورود اطلاعات'!$H$15*D69,0),0)</f>
        <v>0</v>
      </c>
      <c r="S69" s="18">
        <f>IF(AND(C69&gt;=0,C69&lt;=Rates!$O$2,F69&gt;0),MIN(S68*(1+'ورود اطلاعات'!$E$8),IF('ورود اطلاعات'!$H$22="معمولی", 300000000,5000000000)),0)</f>
        <v>0</v>
      </c>
      <c r="T69" s="18">
        <f>IF(AND(C69&lt;=Rates!$O$11,'ورود اطلاعات'!$E$16="بله"),'ورود اطلاعات'!$N$23*('Offline Table'!Q69),0)</f>
        <v>0</v>
      </c>
      <c r="U69" s="18">
        <f>IFERROR(IF(C69&lt;=Rates!$O$1,0.8/1000,0)*Q69*(1+VLOOKUP('ورود اطلاعات'!$E$25,Rates!$Q$1:$T$9,4,FALSE)/100),"")</f>
        <v>0</v>
      </c>
      <c r="V69" s="18">
        <f>IFERROR(IF(C69&lt;=Rates!$O$2,0.8/1000,0)*R69*(1+VLOOKUP('ورود اطلاعات'!$E$25,Rates!$Q$1:$T$9,4,FALSE)/100),"")</f>
        <v>0</v>
      </c>
      <c r="W69" s="18">
        <f>IF(AND(C69&lt;=Rates!$O$2,'ورود اطلاعات'!$H$22="معمولی"),VLOOKUP(C69,Rates!$A$1:$E$108,5,0),IF(AND(C69&lt;=Rates!$O$2,'ورود اطلاعات'!$H$22="پایه"),VLOOKUP(C69,Rates!$A$1:$F$108,6,0),IF(AND(C69&lt;=Rates!$O$2,'ورود اطلاعات'!$H$22="آسایش "),VLOOKUP(C69,Rates!$A$1:$G$108,7,0),IF(AND(C69&lt;=Rates!$O$2,'ورود اطلاعات'!$H$22="ممتاز"),VLOOKUP(C69,Rates!$A$1:$H$108,8,0),0))))*S69/1000000*(1+'ورود اطلاعات'!$E$22)</f>
        <v>0</v>
      </c>
      <c r="X69" s="18">
        <f>IFERROR(IF(C69&lt;=Rates!$O$11,0.8/1000*T69*(1+VLOOKUP('ورود اطلاعات'!$E$25,Rates!$Q$1:$T$9,4,FALSE)/100),0),"")</f>
        <v>0</v>
      </c>
      <c r="Y69" s="18">
        <f>(D69+U69+V69+W69+X69)*VLOOKUP('ورود اطلاعات'!$E$20,Rates!$V$1:$W$5,2,FALSE)</f>
        <v>0</v>
      </c>
      <c r="Z69" s="18">
        <f t="shared" si="3"/>
        <v>0</v>
      </c>
      <c r="AA69" s="18">
        <f>IFERROR(IF(C69&lt;=Rates!$O$1,VLOOKUP('ورود اطلاعات'!$E$20,Rates!$V$1:$X$5,3,FALSE),0),"")</f>
        <v>0</v>
      </c>
      <c r="AB69" s="18">
        <f>IFERROR(IF(C69&lt;=Rates!$O$1,(D69+Z69)/AA69,0),"")</f>
        <v>0</v>
      </c>
    </row>
    <row r="70" spans="1:28" x14ac:dyDescent="0.25">
      <c r="A70" s="17" t="str">
        <f>IF(A69&lt;&gt;"",IF(A69+1&lt;=(Rates!$O$1-'ورود اطلاعات'!$E$6),A69+1,""),"")</f>
        <v/>
      </c>
      <c r="B70" s="17" t="str">
        <f>IF(C70&lt;=Rates!$O$1,B69+1,"")</f>
        <v/>
      </c>
      <c r="C70" s="17" t="str">
        <f>IF(C69&lt;Rates!$O$1,C69+1,"")</f>
        <v/>
      </c>
      <c r="D70" s="18">
        <f>IF(C70&lt;=Rates!$O$1,D69*(1+'ورود اطلاعات'!$E$8),0)</f>
        <v>0</v>
      </c>
      <c r="E70" s="18">
        <f>IF(C70&lt;=Rates!$O$1,INT(D70+E69),0)</f>
        <v>0</v>
      </c>
      <c r="F70" s="18">
        <f>IF(C70&lt;=Rates!$O$1,ROUND(F69*(1+'ورود اطلاعات'!$E$9),0),0)</f>
        <v>0</v>
      </c>
      <c r="G70" s="18">
        <f>IF(A70&lt;=5,IF(C70&lt;=Rates!$O$1,$D$3*5/100,0),0)</f>
        <v>0</v>
      </c>
      <c r="H70" s="18">
        <f>IF(A70&lt;=5,ROUND(F70*Rates!$O$9,0),0)</f>
        <v>0</v>
      </c>
      <c r="I70" s="18">
        <f>IF(C70&lt;=Rates!$O$1,D70*Rates!$O$10,0)</f>
        <v>0</v>
      </c>
      <c r="J70" s="18">
        <f>IF(C70&lt;=Rates!$O$1,F70*(VLOOKUP(C70,Rates!$A$1:$D$108,4,FALSE))/(1.1^0.5),0)</f>
        <v>0</v>
      </c>
      <c r="K70" s="18">
        <f>IF(C70&lt;=Rates!$O$1,D70-(G70+H70+I70+J70),0)</f>
        <v>0</v>
      </c>
      <c r="L70" s="18">
        <f>IF(C70&lt;=Rates!$O$1,(K70+L69)*(1+(IF(B70&lt;=2,Rates!$O$5,IF(B70&lt;=4,Rates!$O$6,Rates!$O$7)))),0)</f>
        <v>0</v>
      </c>
      <c r="M70" s="18">
        <f>IF(C70&lt;=Rates!$O$1,(B70*D70)+(D70*'ورود اطلاعات'!$E$19/12),0)</f>
        <v>0</v>
      </c>
      <c r="N70" s="18">
        <f>IF(C70&lt;=Rates!$O$1,K70*(1+IF(A70&lt;=2,Rates!$O$5,IF(A70&lt;=4,Rates!$O$6,Rates!$O$7))+(Rates!$O$8-IF(A70&lt;=2,Rates!$O$5,IF(A70&lt;=4,Rates!$O$6,Rates!$O$7)))*(VLOOKUP('ورود اطلاعات'!$E$20,Rates!$V$1:$Y$5,4,FALSE)))+N69*(1+IF(A70&lt;=2,Rates!$O$5,IF(A70&lt;=4,Rates!$O$6,Rates!$O$7))+(Rates!$O$8-IF(A70&lt;=2,Rates!$O$5,IF(A70&lt;=4,Rates!$O$6,Rates!$O$7)))),0)</f>
        <v>0</v>
      </c>
      <c r="O70" s="18">
        <f t="shared" si="2"/>
        <v>0</v>
      </c>
      <c r="P70" s="18">
        <f>IF(A70&lt;=7,VLOOKUP(A70,Rates!$K$1:$L$8,2,FALSE),1)*L70</f>
        <v>0</v>
      </c>
      <c r="Q70" s="18">
        <f>IF('ورود اطلاعات'!$E$16="بله",IF(C70&lt;=Rates!$O$4,D70*'ورود اطلاعات'!$H$16,0),0)</f>
        <v>0</v>
      </c>
      <c r="R70" s="18">
        <f>IF('ورود اطلاعات'!$E$15="بله",IF(C70&lt;=Rates!$O$3,'ورود اطلاعات'!$H$15*D70,0),0)</f>
        <v>0</v>
      </c>
      <c r="S70" s="18">
        <f>IF(AND(C70&gt;=0,C70&lt;=Rates!$O$2,F70&gt;0),MIN(S69*(1+'ورود اطلاعات'!$E$8),IF('ورود اطلاعات'!$H$22="معمولی", 300000000,5000000000)),0)</f>
        <v>0</v>
      </c>
      <c r="T70" s="18">
        <f>IF(AND(C70&lt;=Rates!$O$11,'ورود اطلاعات'!$E$16="بله"),'ورود اطلاعات'!$N$23*('Offline Table'!Q70),0)</f>
        <v>0</v>
      </c>
      <c r="U70" s="18">
        <f>IFERROR(IF(C70&lt;=Rates!$O$1,0.8/1000,0)*Q70*(1+VLOOKUP('ورود اطلاعات'!$E$25,Rates!$Q$1:$T$9,4,FALSE)/100),"")</f>
        <v>0</v>
      </c>
      <c r="V70" s="18">
        <f>IFERROR(IF(C70&lt;=Rates!$O$2,0.8/1000,0)*R70*(1+VLOOKUP('ورود اطلاعات'!$E$25,Rates!$Q$1:$T$9,4,FALSE)/100),"")</f>
        <v>0</v>
      </c>
      <c r="W70" s="18">
        <f>IF(AND(C70&lt;=Rates!$O$2,'ورود اطلاعات'!$H$22="معمولی"),VLOOKUP(C70,Rates!$A$1:$E$108,5,0),IF(AND(C70&lt;=Rates!$O$2,'ورود اطلاعات'!$H$22="پایه"),VLOOKUP(C70,Rates!$A$1:$F$108,6,0),IF(AND(C70&lt;=Rates!$O$2,'ورود اطلاعات'!$H$22="آسایش "),VLOOKUP(C70,Rates!$A$1:$G$108,7,0),IF(AND(C70&lt;=Rates!$O$2,'ورود اطلاعات'!$H$22="ممتاز"),VLOOKUP(C70,Rates!$A$1:$H$108,8,0),0))))*S70/1000000*(1+'ورود اطلاعات'!$E$22)</f>
        <v>0</v>
      </c>
      <c r="X70" s="18">
        <f>IFERROR(IF(C70&lt;=Rates!$O$11,0.8/1000*T70*(1+VLOOKUP('ورود اطلاعات'!$E$25,Rates!$Q$1:$T$9,4,FALSE)/100),0),"")</f>
        <v>0</v>
      </c>
      <c r="Y70" s="18">
        <f>(D70+U70+V70+W70+X70)*VLOOKUP('ورود اطلاعات'!$E$20,Rates!$V$1:$W$5,2,FALSE)</f>
        <v>0</v>
      </c>
      <c r="Z70" s="18">
        <f t="shared" si="3"/>
        <v>0</v>
      </c>
      <c r="AA70" s="18">
        <f>IFERROR(IF(C70&lt;=Rates!$O$1,VLOOKUP('ورود اطلاعات'!$E$20,Rates!$V$1:$X$5,3,FALSE),0),"")</f>
        <v>0</v>
      </c>
      <c r="AB70" s="18">
        <f>IFERROR(IF(C70&lt;=Rates!$O$1,(D70+Z70)/AA70,0),"")</f>
        <v>0</v>
      </c>
    </row>
    <row r="71" spans="1:28" x14ac:dyDescent="0.25">
      <c r="A71" s="17" t="str">
        <f>IF(A70&lt;&gt;"",IF(A70+1&lt;=(Rates!$O$1-'ورود اطلاعات'!$E$6),A70+1,""),"")</f>
        <v/>
      </c>
      <c r="B71" s="17" t="str">
        <f>IF(C71&lt;=Rates!$O$1,B70+1,"")</f>
        <v/>
      </c>
      <c r="C71" s="17" t="str">
        <f>IF(C70&lt;Rates!$O$1,C70+1,"")</f>
        <v/>
      </c>
      <c r="D71" s="18">
        <f>IF(C71&lt;=Rates!$O$1,D70*(1+'ورود اطلاعات'!$E$8),0)</f>
        <v>0</v>
      </c>
      <c r="E71" s="18">
        <f>IF(C71&lt;=Rates!$O$1,INT(D71+E70),0)</f>
        <v>0</v>
      </c>
      <c r="F71" s="18">
        <f>IF(C71&lt;=Rates!$O$1,ROUND(F70*(1+'ورود اطلاعات'!$E$9),0),0)</f>
        <v>0</v>
      </c>
      <c r="G71" s="18">
        <f>IF(A71&lt;=5,IF(C71&lt;=Rates!$O$1,$D$3*5/100,0),0)</f>
        <v>0</v>
      </c>
      <c r="H71" s="18">
        <f>IF(A71&lt;=5,ROUND(F71*Rates!$O$9,0),0)</f>
        <v>0</v>
      </c>
      <c r="I71" s="18">
        <f>IF(C71&lt;=Rates!$O$1,D71*Rates!$O$10,0)</f>
        <v>0</v>
      </c>
      <c r="J71" s="18">
        <f>IF(C71&lt;=Rates!$O$1,F71*(VLOOKUP(C71,Rates!$A$1:$D$108,4,FALSE))/(1.1^0.5),0)</f>
        <v>0</v>
      </c>
      <c r="K71" s="18">
        <f>IF(C71&lt;=Rates!$O$1,D71-(G71+H71+I71+J71),0)</f>
        <v>0</v>
      </c>
      <c r="L71" s="18">
        <f>IF(C71&lt;=Rates!$O$1,(K71+L70)*(1+(IF(B71&lt;=2,Rates!$O$5,IF(B71&lt;=4,Rates!$O$6,Rates!$O$7)))),0)</f>
        <v>0</v>
      </c>
      <c r="M71" s="18">
        <f>IF(C71&lt;=Rates!$O$1,(B71*D71)+(D71*'ورود اطلاعات'!$E$19/12),0)</f>
        <v>0</v>
      </c>
      <c r="N71" s="18">
        <f>IF(C71&lt;=Rates!$O$1,K71*(1+IF(A71&lt;=2,Rates!$O$5,IF(A71&lt;=4,Rates!$O$6,Rates!$O$7))+(Rates!$O$8-IF(A71&lt;=2,Rates!$O$5,IF(A71&lt;=4,Rates!$O$6,Rates!$O$7)))*(VLOOKUP('ورود اطلاعات'!$E$20,Rates!$V$1:$Y$5,4,FALSE)))+N70*(1+IF(A71&lt;=2,Rates!$O$5,IF(A71&lt;=4,Rates!$O$6,Rates!$O$7))+(Rates!$O$8-IF(A71&lt;=2,Rates!$O$5,IF(A71&lt;=4,Rates!$O$6,Rates!$O$7)))),0)</f>
        <v>0</v>
      </c>
      <c r="O71" s="18">
        <f t="shared" si="2"/>
        <v>0</v>
      </c>
      <c r="P71" s="18">
        <f>IF(A71&lt;=7,VLOOKUP(A71,Rates!$K$1:$L$8,2,FALSE),1)*L71</f>
        <v>0</v>
      </c>
      <c r="Q71" s="18">
        <f>IF('ورود اطلاعات'!$E$16="بله",IF(C71&lt;=Rates!$O$4,D71*'ورود اطلاعات'!$H$16,0),0)</f>
        <v>0</v>
      </c>
      <c r="R71" s="18">
        <f>IF('ورود اطلاعات'!$E$15="بله",IF(C71&lt;=Rates!$O$3,'ورود اطلاعات'!$H$15*D71,0),0)</f>
        <v>0</v>
      </c>
      <c r="S71" s="18">
        <f>IF(AND(C71&gt;=0,C71&lt;=Rates!$O$2,F71&gt;0),MIN(S70*(1+'ورود اطلاعات'!$E$8),IF('ورود اطلاعات'!$H$22="معمولی", 300000000,5000000000)),0)</f>
        <v>0</v>
      </c>
      <c r="T71" s="18">
        <f>IF(AND(C71&lt;=Rates!$O$11,'ورود اطلاعات'!$E$16="بله"),'ورود اطلاعات'!$N$23*('Offline Table'!Q71),0)</f>
        <v>0</v>
      </c>
      <c r="U71" s="18">
        <f>IFERROR(IF(C71&lt;=Rates!$O$1,0.8/1000,0)*Q71*(1+VLOOKUP('ورود اطلاعات'!$E$25,Rates!$Q$1:$T$9,4,FALSE)/100),"")</f>
        <v>0</v>
      </c>
      <c r="V71" s="18">
        <f>IFERROR(IF(C71&lt;=Rates!$O$2,0.8/1000,0)*R71*(1+VLOOKUP('ورود اطلاعات'!$E$25,Rates!$Q$1:$T$9,4,FALSE)/100),"")</f>
        <v>0</v>
      </c>
      <c r="W71" s="18">
        <f>IF(AND(C71&lt;=Rates!$O$2,'ورود اطلاعات'!$H$22="معمولی"),VLOOKUP(C71,Rates!$A$1:$E$108,5,0),IF(AND(C71&lt;=Rates!$O$2,'ورود اطلاعات'!$H$22="پایه"),VLOOKUP(C71,Rates!$A$1:$F$108,6,0),IF(AND(C71&lt;=Rates!$O$2,'ورود اطلاعات'!$H$22="آسایش "),VLOOKUP(C71,Rates!$A$1:$G$108,7,0),IF(AND(C71&lt;=Rates!$O$2,'ورود اطلاعات'!$H$22="ممتاز"),VLOOKUP(C71,Rates!$A$1:$H$108,8,0),0))))*S71/1000000*(1+'ورود اطلاعات'!$E$22)</f>
        <v>0</v>
      </c>
      <c r="X71" s="18">
        <f>IFERROR(IF(C71&lt;=Rates!$O$11,0.8/1000*T71*(1+VLOOKUP('ورود اطلاعات'!$E$25,Rates!$Q$1:$T$9,4,FALSE)/100),0),"")</f>
        <v>0</v>
      </c>
      <c r="Y71" s="18">
        <f>(D71+U71+V71+W71+X71)*VLOOKUP('ورود اطلاعات'!$E$20,Rates!$V$1:$W$5,2,FALSE)</f>
        <v>0</v>
      </c>
      <c r="Z71" s="18">
        <f t="shared" si="3"/>
        <v>0</v>
      </c>
      <c r="AA71" s="18">
        <f>IFERROR(IF(C71&lt;=Rates!$O$1,VLOOKUP('ورود اطلاعات'!$E$20,Rates!$V$1:$X$5,3,FALSE),0),"")</f>
        <v>0</v>
      </c>
      <c r="AB71" s="18">
        <f>IFERROR(IF(C71&lt;=Rates!$O$1,(D71+Z71)/AA71,0),"")</f>
        <v>0</v>
      </c>
    </row>
    <row r="72" spans="1:28" x14ac:dyDescent="0.25">
      <c r="A72" s="17" t="str">
        <f>IF(A71&lt;&gt;"",IF(A71+1&lt;=(Rates!$O$1-'ورود اطلاعات'!$E$6),A71+1,""),"")</f>
        <v/>
      </c>
      <c r="B72" s="17" t="str">
        <f>IF(C72&lt;=Rates!$O$1,B71+1,"")</f>
        <v/>
      </c>
      <c r="C72" s="17" t="str">
        <f>IF(C71&lt;Rates!$O$1,C71+1,"")</f>
        <v/>
      </c>
      <c r="D72" s="18">
        <f>IF(C72&lt;=Rates!$O$1,D71*(1+'ورود اطلاعات'!$E$8),0)</f>
        <v>0</v>
      </c>
      <c r="E72" s="18">
        <f>IF(C72&lt;=Rates!$O$1,INT(D72+E71),0)</f>
        <v>0</v>
      </c>
      <c r="F72" s="18">
        <f>IF(C72&lt;=Rates!$O$1,ROUND(F71*(1+'ورود اطلاعات'!$E$9),0),0)</f>
        <v>0</v>
      </c>
      <c r="G72" s="18">
        <f>IF(A72&lt;=5,IF(C72&lt;=Rates!$O$1,$D$3*5/100,0),0)</f>
        <v>0</v>
      </c>
      <c r="H72" s="18">
        <f>IF(A72&lt;=5,ROUND(F72*Rates!$O$9,0),0)</f>
        <v>0</v>
      </c>
      <c r="I72" s="18">
        <f>IF(C72&lt;=Rates!$O$1,D72*Rates!$O$10,0)</f>
        <v>0</v>
      </c>
      <c r="J72" s="18">
        <f>IF(C72&lt;=Rates!$O$1,F72*(VLOOKUP(C72,Rates!$A$1:$D$108,4,FALSE))/(1.1^0.5),0)</f>
        <v>0</v>
      </c>
      <c r="K72" s="18">
        <f>IF(C72&lt;=Rates!$O$1,D72-(G72+H72+I72+J72),0)</f>
        <v>0</v>
      </c>
      <c r="L72" s="18">
        <f>IF(C72&lt;=Rates!$O$1,(K72+L71)*(1+(IF(B72&lt;=2,Rates!$O$5,IF(B72&lt;=4,Rates!$O$6,Rates!$O$7)))),0)</f>
        <v>0</v>
      </c>
      <c r="M72" s="18">
        <f>IF(C72&lt;=Rates!$O$1,(B72*D72)+(D72*'ورود اطلاعات'!$E$19/12),0)</f>
        <v>0</v>
      </c>
      <c r="N72" s="18">
        <f>IF(C72&lt;=Rates!$O$1,K72*(1+IF(A72&lt;=2,Rates!$O$5,IF(A72&lt;=4,Rates!$O$6,Rates!$O$7))+(Rates!$O$8-IF(A72&lt;=2,Rates!$O$5,IF(A72&lt;=4,Rates!$O$6,Rates!$O$7)))*(VLOOKUP('ورود اطلاعات'!$E$20,Rates!$V$1:$Y$5,4,FALSE)))+N71*(1+IF(A72&lt;=2,Rates!$O$5,IF(A72&lt;=4,Rates!$O$6,Rates!$O$7))+(Rates!$O$8-IF(A72&lt;=2,Rates!$O$5,IF(A72&lt;=4,Rates!$O$6,Rates!$O$7)))),0)</f>
        <v>0</v>
      </c>
      <c r="O72" s="18">
        <f t="shared" si="2"/>
        <v>0</v>
      </c>
      <c r="P72" s="18">
        <f>IF(A72&lt;=7,VLOOKUP(A72,Rates!$K$1:$L$8,2,FALSE),1)*L72</f>
        <v>0</v>
      </c>
      <c r="Q72" s="18">
        <f>IF('ورود اطلاعات'!$E$16="بله",IF(C72&lt;=Rates!$O$4,D72*'ورود اطلاعات'!$H$16,0),0)</f>
        <v>0</v>
      </c>
      <c r="R72" s="18">
        <f>IF('ورود اطلاعات'!$E$15="بله",IF(C72&lt;=Rates!$O$3,'ورود اطلاعات'!$H$15*D72,0),0)</f>
        <v>0</v>
      </c>
      <c r="S72" s="18">
        <f>IF(AND(C72&gt;=0,C72&lt;=Rates!$O$2,F72&gt;0),MIN(S71*(1+'ورود اطلاعات'!$E$8),IF('ورود اطلاعات'!$H$22="معمولی", 300000000,5000000000)),0)</f>
        <v>0</v>
      </c>
      <c r="T72" s="18">
        <f>IF(AND(C72&lt;=Rates!$O$11,'ورود اطلاعات'!$E$16="بله"),'ورود اطلاعات'!$N$23*('Offline Table'!Q72),0)</f>
        <v>0</v>
      </c>
      <c r="U72" s="18">
        <f>IFERROR(IF(C72&lt;=Rates!$O$1,0.8/1000,0)*Q72*(1+VLOOKUP('ورود اطلاعات'!$E$25,Rates!$Q$1:$T$9,4,FALSE)/100),"")</f>
        <v>0</v>
      </c>
      <c r="V72" s="18">
        <f>IFERROR(IF(C72&lt;=Rates!$O$2,0.8/1000,0)*R72*(1+VLOOKUP('ورود اطلاعات'!$E$25,Rates!$Q$1:$T$9,4,FALSE)/100),"")</f>
        <v>0</v>
      </c>
      <c r="W72" s="18">
        <f>IF(AND(C72&lt;=Rates!$O$2,'ورود اطلاعات'!$H$22="معمولی"),VLOOKUP(C72,Rates!$A$1:$E$108,5,0),IF(AND(C72&lt;=Rates!$O$2,'ورود اطلاعات'!$H$22="پایه"),VLOOKUP(C72,Rates!$A$1:$F$108,6,0),IF(AND(C72&lt;=Rates!$O$2,'ورود اطلاعات'!$H$22="آسایش "),VLOOKUP(C72,Rates!$A$1:$G$108,7,0),IF(AND(C72&lt;=Rates!$O$2,'ورود اطلاعات'!$H$22="ممتاز"),VLOOKUP(C72,Rates!$A$1:$H$108,8,0),0))))*S72/1000000*(1+'ورود اطلاعات'!$E$22)</f>
        <v>0</v>
      </c>
      <c r="X72" s="18">
        <f>IFERROR(IF(C72&lt;=Rates!$O$11,0.8/1000*T72*(1+VLOOKUP('ورود اطلاعات'!$E$25,Rates!$Q$1:$T$9,4,FALSE)/100),0),"")</f>
        <v>0</v>
      </c>
      <c r="Y72" s="18">
        <f>(D72+U72+V72+W72+X72)*VLOOKUP('ورود اطلاعات'!$E$20,Rates!$V$1:$W$5,2,FALSE)</f>
        <v>0</v>
      </c>
      <c r="Z72" s="18">
        <f t="shared" si="3"/>
        <v>0</v>
      </c>
      <c r="AA72" s="18">
        <f>IFERROR(IF(C72&lt;=Rates!$O$1,VLOOKUP('ورود اطلاعات'!$E$20,Rates!$V$1:$X$5,3,FALSE),0),"")</f>
        <v>0</v>
      </c>
      <c r="AB72" s="18">
        <f>IFERROR(IF(C72&lt;=Rates!$O$1,(D72+Z72)/AA72,0),"")</f>
        <v>0</v>
      </c>
    </row>
    <row r="73" spans="1:28" x14ac:dyDescent="0.25">
      <c r="A73" s="17" t="str">
        <f>IF(A72&lt;&gt;"",IF(A72+1&lt;=(Rates!$O$1-'ورود اطلاعات'!$E$6),A72+1,""),"")</f>
        <v/>
      </c>
      <c r="B73" s="17" t="str">
        <f>IF(C73&lt;=Rates!$O$1,B72+1,"")</f>
        <v/>
      </c>
      <c r="C73" s="17" t="str">
        <f>IF(C72&lt;Rates!$O$1,C72+1,"")</f>
        <v/>
      </c>
      <c r="D73" s="18">
        <f>IF(C73&lt;=Rates!$O$1,D72*(1+'ورود اطلاعات'!$E$8),0)</f>
        <v>0</v>
      </c>
      <c r="E73" s="18">
        <f>IF(C73&lt;=Rates!$O$1,INT(D73+E72),0)</f>
        <v>0</v>
      </c>
      <c r="F73" s="18">
        <f>IF(C73&lt;=Rates!$O$1,ROUND(F72*(1+'ورود اطلاعات'!$E$9),0),0)</f>
        <v>0</v>
      </c>
      <c r="G73" s="18">
        <f>IF(A73&lt;=5,IF(C73&lt;=Rates!$O$1,$D$3*5/100,0),0)</f>
        <v>0</v>
      </c>
      <c r="H73" s="18">
        <f>IF(A73&lt;=5,ROUND(F73*Rates!$O$9,0),0)</f>
        <v>0</v>
      </c>
      <c r="I73" s="18">
        <f>IF(C73&lt;=Rates!$O$1,D73*Rates!$O$10,0)</f>
        <v>0</v>
      </c>
      <c r="J73" s="18">
        <f>IF(C73&lt;=Rates!$O$1,F73*(VLOOKUP(C73,Rates!$A$1:$D$108,4,FALSE))/(1.1^0.5),0)</f>
        <v>0</v>
      </c>
      <c r="K73" s="18">
        <f>IF(C73&lt;=Rates!$O$1,D73-(G73+H73+I73+J73),0)</f>
        <v>0</v>
      </c>
      <c r="L73" s="18">
        <f>IF(C73&lt;=Rates!$O$1,(K73+L72)*(1+(IF(B73&lt;=2,Rates!$O$5,IF(B73&lt;=4,Rates!$O$6,Rates!$O$7)))),0)</f>
        <v>0</v>
      </c>
      <c r="M73" s="18">
        <f>IF(C73&lt;=Rates!$O$1,(B73*D73)+(D73*'ورود اطلاعات'!$E$19/12),0)</f>
        <v>0</v>
      </c>
      <c r="N73" s="18">
        <f>IF(C73&lt;=Rates!$O$1,K73*(1+IF(A73&lt;=2,Rates!$O$5,IF(A73&lt;=4,Rates!$O$6,Rates!$O$7))+(Rates!$O$8-IF(A73&lt;=2,Rates!$O$5,IF(A73&lt;=4,Rates!$O$6,Rates!$O$7)))*(VLOOKUP('ورود اطلاعات'!$E$20,Rates!$V$1:$Y$5,4,FALSE)))+N72*(1+IF(A73&lt;=2,Rates!$O$5,IF(A73&lt;=4,Rates!$O$6,Rates!$O$7))+(Rates!$O$8-IF(A73&lt;=2,Rates!$O$5,IF(A73&lt;=4,Rates!$O$6,Rates!$O$7)))),0)</f>
        <v>0</v>
      </c>
      <c r="O73" s="18">
        <f t="shared" si="2"/>
        <v>0</v>
      </c>
      <c r="P73" s="18">
        <f>IF(A73&lt;=7,VLOOKUP(A73,Rates!$K$1:$L$8,2,FALSE),1)*L73</f>
        <v>0</v>
      </c>
      <c r="Q73" s="18">
        <f>IF('ورود اطلاعات'!$E$16="بله",IF(C73&lt;=Rates!$O$4,D73*'ورود اطلاعات'!$H$16,0),0)</f>
        <v>0</v>
      </c>
      <c r="R73" s="18">
        <f>IF('ورود اطلاعات'!$E$15="بله",IF(C73&lt;=Rates!$O$3,'ورود اطلاعات'!$H$15*D73,0),0)</f>
        <v>0</v>
      </c>
      <c r="S73" s="18">
        <f>IF(AND(C73&gt;=0,C73&lt;=Rates!$O$2,F73&gt;0),MIN(S72*(1+'ورود اطلاعات'!$E$8),IF('ورود اطلاعات'!$H$22="معمولی", 300000000,5000000000)),0)</f>
        <v>0</v>
      </c>
      <c r="T73" s="18">
        <f>IF(AND(C73&lt;=Rates!$O$11,'ورود اطلاعات'!$E$16="بله"),'ورود اطلاعات'!$N$23*('Offline Table'!Q73),0)</f>
        <v>0</v>
      </c>
      <c r="U73" s="18">
        <f>IFERROR(IF(C73&lt;=Rates!$O$1,0.8/1000,0)*Q73*(1+VLOOKUP('ورود اطلاعات'!$E$25,Rates!$Q$1:$T$9,4,FALSE)/100),"")</f>
        <v>0</v>
      </c>
      <c r="V73" s="18">
        <f>IFERROR(IF(C73&lt;=Rates!$O$2,0.8/1000,0)*R73*(1+VLOOKUP('ورود اطلاعات'!$E$25,Rates!$Q$1:$T$9,4,FALSE)/100),"")</f>
        <v>0</v>
      </c>
      <c r="W73" s="18">
        <f>IF(AND(C73&lt;=Rates!$O$2,'ورود اطلاعات'!$H$22="معمولی"),VLOOKUP(C73,Rates!$A$1:$E$108,5,0),IF(AND(C73&lt;=Rates!$O$2,'ورود اطلاعات'!$H$22="پایه"),VLOOKUP(C73,Rates!$A$1:$F$108,6,0),IF(AND(C73&lt;=Rates!$O$2,'ورود اطلاعات'!$H$22="آسایش "),VLOOKUP(C73,Rates!$A$1:$G$108,7,0),IF(AND(C73&lt;=Rates!$O$2,'ورود اطلاعات'!$H$22="ممتاز"),VLOOKUP(C73,Rates!$A$1:$H$108,8,0),0))))*S73/1000000*(1+'ورود اطلاعات'!$E$22)</f>
        <v>0</v>
      </c>
      <c r="X73" s="18">
        <f>IFERROR(IF(C73&lt;=Rates!$O$11,0.8/1000*T73*(1+VLOOKUP('ورود اطلاعات'!$E$25,Rates!$Q$1:$T$9,4,FALSE)/100),0),"")</f>
        <v>0</v>
      </c>
      <c r="Y73" s="18">
        <f>(D73+U73+V73+W73+X73)*VLOOKUP('ورود اطلاعات'!$E$20,Rates!$V$1:$W$5,2,FALSE)</f>
        <v>0</v>
      </c>
      <c r="Z73" s="18">
        <f t="shared" si="3"/>
        <v>0</v>
      </c>
      <c r="AA73" s="18">
        <f>IFERROR(IF(C73&lt;=Rates!$O$1,VLOOKUP('ورود اطلاعات'!$E$20,Rates!$V$1:$X$5,3,FALSE),0),"")</f>
        <v>0</v>
      </c>
      <c r="AB73" s="18">
        <f>IFERROR(IF(C73&lt;=Rates!$O$1,(D73+Z73)/AA73,0),"")</f>
        <v>0</v>
      </c>
    </row>
    <row r="74" spans="1:28" x14ac:dyDescent="0.25">
      <c r="A74" s="17" t="str">
        <f>IF(A73&lt;&gt;"",IF(A73+1&lt;=(Rates!$O$1-'ورود اطلاعات'!$E$6),A73+1,""),"")</f>
        <v/>
      </c>
      <c r="B74" s="17" t="str">
        <f>IF(C74&lt;=Rates!$O$1,B73+1,"")</f>
        <v/>
      </c>
      <c r="C74" s="17" t="str">
        <f>IF(C73&lt;Rates!$O$1,C73+1,"")</f>
        <v/>
      </c>
      <c r="D74" s="18">
        <f>IF(C74&lt;=Rates!$O$1,D73*(1+'ورود اطلاعات'!$E$8),0)</f>
        <v>0</v>
      </c>
      <c r="E74" s="18">
        <f>IF(C74&lt;=Rates!$O$1,INT(D74+E73),0)</f>
        <v>0</v>
      </c>
      <c r="F74" s="18">
        <f>IF(C74&lt;=Rates!$O$1,ROUND(F73*(1+'ورود اطلاعات'!$E$9),0),0)</f>
        <v>0</v>
      </c>
      <c r="G74" s="18">
        <f>IF(A74&lt;=5,IF(C74&lt;=Rates!$O$1,$D$3*5/100,0),0)</f>
        <v>0</v>
      </c>
      <c r="H74" s="18">
        <f>IF(A74&lt;=5,ROUND(F74*Rates!$O$9,0),0)</f>
        <v>0</v>
      </c>
      <c r="I74" s="18">
        <f>IF(C74&lt;=Rates!$O$1,D74*Rates!$O$10,0)</f>
        <v>0</v>
      </c>
      <c r="J74" s="18">
        <f>IF(C74&lt;=Rates!$O$1,F74*(VLOOKUP(C74,Rates!$A$1:$D$108,4,FALSE))/(1.1^0.5),0)</f>
        <v>0</v>
      </c>
      <c r="K74" s="18">
        <f>IF(C74&lt;=Rates!$O$1,D74-(G74+H74+I74+J74),0)</f>
        <v>0</v>
      </c>
      <c r="L74" s="18">
        <f>IF(C74&lt;=Rates!$O$1,(K74+L73)*(1+(IF(B74&lt;=2,Rates!$O$5,IF(B74&lt;=4,Rates!$O$6,Rates!$O$7)))),0)</f>
        <v>0</v>
      </c>
      <c r="M74" s="18">
        <f>IF(C74&lt;=Rates!$O$1,(B74*D74)+(D74*'ورود اطلاعات'!$E$19/12),0)</f>
        <v>0</v>
      </c>
      <c r="N74" s="18">
        <f>IF(C74&lt;=Rates!$O$1,K74*(1+IF(A74&lt;=2,Rates!$O$5,IF(A74&lt;=4,Rates!$O$6,Rates!$O$7))+(Rates!$O$8-IF(A74&lt;=2,Rates!$O$5,IF(A74&lt;=4,Rates!$O$6,Rates!$O$7)))*(VLOOKUP('ورود اطلاعات'!$E$20,Rates!$V$1:$Y$5,4,FALSE)))+N73*(1+IF(A74&lt;=2,Rates!$O$5,IF(A74&lt;=4,Rates!$O$6,Rates!$O$7))+(Rates!$O$8-IF(A74&lt;=2,Rates!$O$5,IF(A74&lt;=4,Rates!$O$6,Rates!$O$7)))),0)</f>
        <v>0</v>
      </c>
      <c r="O74" s="18">
        <f t="shared" si="2"/>
        <v>0</v>
      </c>
      <c r="P74" s="18">
        <f>IF(A74&lt;=7,VLOOKUP(A74,Rates!$K$1:$L$8,2,FALSE),1)*L74</f>
        <v>0</v>
      </c>
      <c r="Q74" s="18">
        <f>IF('ورود اطلاعات'!$E$16="بله",IF(C74&lt;=Rates!$O$4,D74*'ورود اطلاعات'!$H$16,0),0)</f>
        <v>0</v>
      </c>
      <c r="R74" s="18">
        <f>IF('ورود اطلاعات'!$E$15="بله",IF(C74&lt;=Rates!$O$3,'ورود اطلاعات'!$H$15*D74,0),0)</f>
        <v>0</v>
      </c>
      <c r="S74" s="18">
        <f>IF(AND(C74&gt;=0,C74&lt;=Rates!$O$2,F74&gt;0),MIN(S73*(1+'ورود اطلاعات'!$E$8),IF('ورود اطلاعات'!$H$22="معمولی", 300000000,5000000000)),0)</f>
        <v>0</v>
      </c>
      <c r="T74" s="18">
        <f>IF(AND(C74&lt;=Rates!$O$11,'ورود اطلاعات'!$E$16="بله"),'ورود اطلاعات'!$N$23*('Offline Table'!Q74),0)</f>
        <v>0</v>
      </c>
      <c r="U74" s="18">
        <f>IFERROR(IF(C74&lt;=Rates!$O$1,0.8/1000,0)*Q74*(1+VLOOKUP('ورود اطلاعات'!$E$25,Rates!$Q$1:$T$9,4,FALSE)/100),"")</f>
        <v>0</v>
      </c>
      <c r="V74" s="18">
        <f>IFERROR(IF(C74&lt;=Rates!$O$2,0.8/1000,0)*R74*(1+VLOOKUP('ورود اطلاعات'!$E$25,Rates!$Q$1:$T$9,4,FALSE)/100),"")</f>
        <v>0</v>
      </c>
      <c r="W74" s="18">
        <f>IF(AND(C74&lt;=Rates!$O$2,'ورود اطلاعات'!$H$22="معمولی"),VLOOKUP(C74,Rates!$A$1:$E$108,5,0),IF(AND(C74&lt;=Rates!$O$2,'ورود اطلاعات'!$H$22="پایه"),VLOOKUP(C74,Rates!$A$1:$F$108,6,0),IF(AND(C74&lt;=Rates!$O$2,'ورود اطلاعات'!$H$22="آسایش "),VLOOKUP(C74,Rates!$A$1:$G$108,7,0),IF(AND(C74&lt;=Rates!$O$2,'ورود اطلاعات'!$H$22="ممتاز"),VLOOKUP(C74,Rates!$A$1:$H$108,8,0),0))))*S74/1000000*(1+'ورود اطلاعات'!$E$22)</f>
        <v>0</v>
      </c>
      <c r="X74" s="18">
        <f>IFERROR(IF(C74&lt;=Rates!$O$11,0.8/1000*T74*(1+VLOOKUP('ورود اطلاعات'!$E$25,Rates!$Q$1:$T$9,4,FALSE)/100),0),"")</f>
        <v>0</v>
      </c>
      <c r="Y74" s="18">
        <f>(D74+U74+V74+W74+X74)*VLOOKUP('ورود اطلاعات'!$E$20,Rates!$V$1:$W$5,2,FALSE)</f>
        <v>0</v>
      </c>
      <c r="Z74" s="18">
        <f t="shared" si="3"/>
        <v>0</v>
      </c>
      <c r="AA74" s="18">
        <f>IFERROR(IF(C74&lt;=Rates!$O$1,VLOOKUP('ورود اطلاعات'!$E$20,Rates!$V$1:$X$5,3,FALSE),0),"")</f>
        <v>0</v>
      </c>
      <c r="AB74" s="18">
        <f>IFERROR(IF(C74&lt;=Rates!$O$1,(D74+Z74)/AA74,0),"")</f>
        <v>0</v>
      </c>
    </row>
    <row r="75" spans="1:28" x14ac:dyDescent="0.25">
      <c r="A75" s="17" t="str">
        <f>IF(A74&lt;&gt;"",IF(A74+1&lt;=(Rates!$O$1-'ورود اطلاعات'!$E$6),A74+1,""),"")</f>
        <v/>
      </c>
      <c r="B75" s="17" t="str">
        <f>IF(C75&lt;=Rates!$O$1,B74+1,"")</f>
        <v/>
      </c>
      <c r="C75" s="17" t="str">
        <f>IF(C74&lt;Rates!$O$1,C74+1,"")</f>
        <v/>
      </c>
      <c r="D75" s="18">
        <f>IF(C75&lt;=Rates!$O$1,D74*(1+'ورود اطلاعات'!$E$8),0)</f>
        <v>0</v>
      </c>
      <c r="E75" s="18">
        <f>IF(C75&lt;=Rates!$O$1,INT(D75+E74),0)</f>
        <v>0</v>
      </c>
      <c r="F75" s="18">
        <f>IF(C75&lt;=Rates!$O$1,ROUND(F74*(1+'ورود اطلاعات'!$E$9),0),0)</f>
        <v>0</v>
      </c>
      <c r="G75" s="18">
        <f>IF(A75&lt;=5,IF(C75&lt;=Rates!$O$1,$D$3*5/100,0),0)</f>
        <v>0</v>
      </c>
      <c r="H75" s="18">
        <f>IF(A75&lt;=5,ROUND(F75*Rates!$O$9,0),0)</f>
        <v>0</v>
      </c>
      <c r="I75" s="18">
        <f>IF(C75&lt;=Rates!$O$1,D75*Rates!$O$10,0)</f>
        <v>0</v>
      </c>
      <c r="J75" s="18">
        <f>IF(C75&lt;=Rates!$O$1,F75*(VLOOKUP(C75,Rates!$A$1:$D$108,4,FALSE))/(1.1^0.5),0)</f>
        <v>0</v>
      </c>
      <c r="K75" s="18">
        <f>IF(C75&lt;=Rates!$O$1,D75-(G75+H75+I75+J75),0)</f>
        <v>0</v>
      </c>
      <c r="L75" s="18">
        <f>IF(C75&lt;=Rates!$O$1,(K75+L74)*(1+(IF(B75&lt;=2,Rates!$O$5,IF(B75&lt;=4,Rates!$O$6,Rates!$O$7)))),0)</f>
        <v>0</v>
      </c>
      <c r="M75" s="18">
        <f>IF(C75&lt;=Rates!$O$1,(B75*D75)+(D75*'ورود اطلاعات'!$E$19/12),0)</f>
        <v>0</v>
      </c>
      <c r="N75" s="18">
        <f>IF(C75&lt;=Rates!$O$1,K75*(1+IF(A75&lt;=2,Rates!$O$5,IF(A75&lt;=4,Rates!$O$6,Rates!$O$7))+(Rates!$O$8-IF(A75&lt;=2,Rates!$O$5,IF(A75&lt;=4,Rates!$O$6,Rates!$O$7)))*(VLOOKUP('ورود اطلاعات'!$E$20,Rates!$V$1:$Y$5,4,FALSE)))+N74*(1+IF(A75&lt;=2,Rates!$O$5,IF(A75&lt;=4,Rates!$O$6,Rates!$O$7))+(Rates!$O$8-IF(A75&lt;=2,Rates!$O$5,IF(A75&lt;=4,Rates!$O$6,Rates!$O$7)))),0)</f>
        <v>0</v>
      </c>
      <c r="O75" s="18">
        <f t="shared" si="2"/>
        <v>0</v>
      </c>
      <c r="P75" s="18">
        <f>IF(A75&lt;=7,VLOOKUP(A75,Rates!$K$1:$L$8,2,FALSE),1)*L75</f>
        <v>0</v>
      </c>
      <c r="Q75" s="18">
        <f>IF('ورود اطلاعات'!$E$16="بله",IF(C75&lt;=Rates!$O$4,D75*'ورود اطلاعات'!$H$16,0),0)</f>
        <v>0</v>
      </c>
      <c r="R75" s="18">
        <f>IF('ورود اطلاعات'!$E$15="بله",IF(C75&lt;=Rates!$O$3,'ورود اطلاعات'!$H$15*D75,0),0)</f>
        <v>0</v>
      </c>
      <c r="S75" s="18">
        <f>IF(AND(C75&gt;=0,C75&lt;=Rates!$O$2,F75&gt;0),MIN(S74*(1+'ورود اطلاعات'!$E$8),IF('ورود اطلاعات'!$H$22="معمولی", 300000000,5000000000)),0)</f>
        <v>0</v>
      </c>
      <c r="T75" s="18">
        <f>IF(AND(C75&lt;=Rates!$O$11,'ورود اطلاعات'!$E$16="بله"),'ورود اطلاعات'!$N$23*('Offline Table'!Q75),0)</f>
        <v>0</v>
      </c>
      <c r="U75" s="18">
        <f>IFERROR(IF(C75&lt;=Rates!$O$1,0.8/1000,0)*Q75*(1+VLOOKUP('ورود اطلاعات'!$E$25,Rates!$Q$1:$T$9,4,FALSE)/100),"")</f>
        <v>0</v>
      </c>
      <c r="V75" s="18">
        <f>IFERROR(IF(C75&lt;=Rates!$O$2,0.8/1000,0)*R75*(1+VLOOKUP('ورود اطلاعات'!$E$25,Rates!$Q$1:$T$9,4,FALSE)/100),"")</f>
        <v>0</v>
      </c>
      <c r="W75" s="18">
        <f>IF(AND(C75&lt;=Rates!$O$2,'ورود اطلاعات'!$H$22="معمولی"),VLOOKUP(C75,Rates!$A$1:$E$108,5,0),IF(AND(C75&lt;=Rates!$O$2,'ورود اطلاعات'!$H$22="پایه"),VLOOKUP(C75,Rates!$A$1:$F$108,6,0),IF(AND(C75&lt;=Rates!$O$2,'ورود اطلاعات'!$H$22="آسایش "),VLOOKUP(C75,Rates!$A$1:$G$108,7,0),IF(AND(C75&lt;=Rates!$O$2,'ورود اطلاعات'!$H$22="ممتاز"),VLOOKUP(C75,Rates!$A$1:$H$108,8,0),0))))*S75/1000000*(1+'ورود اطلاعات'!$E$22)</f>
        <v>0</v>
      </c>
      <c r="X75" s="18">
        <f>IFERROR(IF(C75&lt;=Rates!$O$11,0.8/1000*T75*(1+VLOOKUP('ورود اطلاعات'!$E$25,Rates!$Q$1:$T$9,4,FALSE)/100),0),"")</f>
        <v>0</v>
      </c>
      <c r="Y75" s="18">
        <f>(D75+U75+V75+W75+X75)*VLOOKUP('ورود اطلاعات'!$E$20,Rates!$V$1:$W$5,2,FALSE)</f>
        <v>0</v>
      </c>
      <c r="Z75" s="18">
        <f t="shared" si="3"/>
        <v>0</v>
      </c>
      <c r="AA75" s="18">
        <f>IFERROR(IF(C75&lt;=Rates!$O$1,VLOOKUP('ورود اطلاعات'!$E$20,Rates!$V$1:$X$5,3,FALSE),0),"")</f>
        <v>0</v>
      </c>
      <c r="AB75" s="18">
        <f>IFERROR(IF(C75&lt;=Rates!$O$1,(D75+Z75)/AA75,0),"")</f>
        <v>0</v>
      </c>
    </row>
    <row r="76" spans="1:28" x14ac:dyDescent="0.25">
      <c r="A76" s="17" t="str">
        <f>IF(A75&lt;&gt;"",IF(A75+1&lt;=(Rates!$O$1-'ورود اطلاعات'!$E$6),A75+1,""),"")</f>
        <v/>
      </c>
      <c r="B76" s="17" t="str">
        <f>IF(C76&lt;=Rates!$O$1,B75+1,"")</f>
        <v/>
      </c>
      <c r="C76" s="17" t="str">
        <f>IF(C75&lt;Rates!$O$1,C75+1,"")</f>
        <v/>
      </c>
      <c r="D76" s="18">
        <f>IF(C76&lt;=Rates!$O$1,D75*(1+'ورود اطلاعات'!$E$8),0)</f>
        <v>0</v>
      </c>
      <c r="E76" s="18">
        <f>IF(C76&lt;=Rates!$O$1,INT(D76+E75),0)</f>
        <v>0</v>
      </c>
      <c r="F76" s="18">
        <f>IF(C76&lt;=Rates!$O$1,ROUND(F75*(1+'ورود اطلاعات'!$E$9),0),0)</f>
        <v>0</v>
      </c>
      <c r="G76" s="18">
        <f>IF(A76&lt;=5,IF(C76&lt;=Rates!$O$1,$D$3*5/100,0),0)</f>
        <v>0</v>
      </c>
      <c r="H76" s="18">
        <f>IF(A76&lt;=5,ROUND(F76*Rates!$O$9,0),0)</f>
        <v>0</v>
      </c>
      <c r="I76" s="18">
        <f>IF(C76&lt;=Rates!$O$1,D76*Rates!$O$10,0)</f>
        <v>0</v>
      </c>
      <c r="J76" s="18">
        <f>IF(C76&lt;=Rates!$O$1,F76*(VLOOKUP(C76,Rates!$A$1:$D$108,4,FALSE))/(1.1^0.5),0)</f>
        <v>0</v>
      </c>
      <c r="K76" s="18">
        <f>IF(C76&lt;=Rates!$O$1,D76-(G76+H76+I76+J76),0)</f>
        <v>0</v>
      </c>
      <c r="L76" s="18">
        <f>IF(C76&lt;=Rates!$O$1,(K76+L75)*(1+(IF(B76&lt;=2,Rates!$O$5,IF(B76&lt;=4,Rates!$O$6,Rates!$O$7)))),0)</f>
        <v>0</v>
      </c>
      <c r="M76" s="18">
        <f>IF(C76&lt;=Rates!$O$1,(B76*D76)+(D76*'ورود اطلاعات'!$E$19/12),0)</f>
        <v>0</v>
      </c>
      <c r="N76" s="18">
        <f>IF(C76&lt;=Rates!$O$1,K76*(1+IF(A76&lt;=2,Rates!$O$5,IF(A76&lt;=4,Rates!$O$6,Rates!$O$7))+(Rates!$O$8-IF(A76&lt;=2,Rates!$O$5,IF(A76&lt;=4,Rates!$O$6,Rates!$O$7)))*(VLOOKUP('ورود اطلاعات'!$E$20,Rates!$V$1:$Y$5,4,FALSE)))+N75*(1+IF(A76&lt;=2,Rates!$O$5,IF(A76&lt;=4,Rates!$O$6,Rates!$O$7))+(Rates!$O$8-IF(A76&lt;=2,Rates!$O$5,IF(A76&lt;=4,Rates!$O$6,Rates!$O$7)))),0)</f>
        <v>0</v>
      </c>
      <c r="O76" s="18">
        <f t="shared" si="2"/>
        <v>0</v>
      </c>
      <c r="P76" s="18">
        <f>IF(A76&lt;=7,VLOOKUP(A76,Rates!$K$1:$L$8,2,FALSE),1)*L76</f>
        <v>0</v>
      </c>
      <c r="Q76" s="18">
        <f>IF('ورود اطلاعات'!$E$16="بله",IF(C76&lt;=Rates!$O$4,D76*'ورود اطلاعات'!$H$16,0),0)</f>
        <v>0</v>
      </c>
      <c r="R76" s="18">
        <f>IF('ورود اطلاعات'!$E$15="بله",IF(C76&lt;=Rates!$O$3,'ورود اطلاعات'!$H$15*D76,0),0)</f>
        <v>0</v>
      </c>
      <c r="S76" s="18">
        <f>IF(AND(C76&gt;=0,C76&lt;=Rates!$O$2,F76&gt;0),MIN(S75*(1+'ورود اطلاعات'!$E$8),IF('ورود اطلاعات'!$H$22="معمولی", 300000000,5000000000)),0)</f>
        <v>0</v>
      </c>
      <c r="T76" s="18">
        <f>IF(AND(C76&lt;=Rates!$O$11,'ورود اطلاعات'!$E$16="بله"),'ورود اطلاعات'!$N$23*('Offline Table'!Q76),0)</f>
        <v>0</v>
      </c>
      <c r="U76" s="18">
        <f>IFERROR(IF(C76&lt;=Rates!$O$1,0.8/1000,0)*Q76*(1+VLOOKUP('ورود اطلاعات'!$E$25,Rates!$Q$1:$T$9,4,FALSE)/100),"")</f>
        <v>0</v>
      </c>
      <c r="V76" s="18">
        <f>IFERROR(IF(C76&lt;=Rates!$O$2,0.8/1000,0)*R76*(1+VLOOKUP('ورود اطلاعات'!$E$25,Rates!$Q$1:$T$9,4,FALSE)/100),"")</f>
        <v>0</v>
      </c>
      <c r="W76" s="18">
        <f>IF(AND(C76&lt;=Rates!$O$2,'ورود اطلاعات'!$H$22="معمولی"),VLOOKUP(C76,Rates!$A$1:$E$108,5,0),IF(AND(C76&lt;=Rates!$O$2,'ورود اطلاعات'!$H$22="پایه"),VLOOKUP(C76,Rates!$A$1:$F$108,6,0),IF(AND(C76&lt;=Rates!$O$2,'ورود اطلاعات'!$H$22="آسایش "),VLOOKUP(C76,Rates!$A$1:$G$108,7,0),IF(AND(C76&lt;=Rates!$O$2,'ورود اطلاعات'!$H$22="ممتاز"),VLOOKUP(C76,Rates!$A$1:$H$108,8,0),0))))*S76/1000000*(1+'ورود اطلاعات'!$E$22)</f>
        <v>0</v>
      </c>
      <c r="X76" s="18">
        <f>IFERROR(IF(C76&lt;=Rates!$O$11,0.8/1000*T76*(1+VLOOKUP('ورود اطلاعات'!$E$25,Rates!$Q$1:$T$9,4,FALSE)/100),0),"")</f>
        <v>0</v>
      </c>
      <c r="Y76" s="18">
        <f>(D76+U76+V76+W76+X76)*VLOOKUP('ورود اطلاعات'!$E$20,Rates!$V$1:$W$5,2,FALSE)</f>
        <v>0</v>
      </c>
      <c r="Z76" s="18">
        <f t="shared" si="3"/>
        <v>0</v>
      </c>
      <c r="AA76" s="18">
        <f>IFERROR(IF(C76&lt;=Rates!$O$1,VLOOKUP('ورود اطلاعات'!$E$20,Rates!$V$1:$X$5,3,FALSE),0),"")</f>
        <v>0</v>
      </c>
      <c r="AB76" s="18">
        <f>IFERROR(IF(C76&lt;=Rates!$O$1,(D76+Z76)/AA76,0),"")</f>
        <v>0</v>
      </c>
    </row>
    <row r="77" spans="1:28" x14ac:dyDescent="0.25">
      <c r="A77" s="17" t="str">
        <f>IF(A76&lt;&gt;"",IF(A76+1&lt;=(Rates!$O$1-'ورود اطلاعات'!$E$6),A76+1,""),"")</f>
        <v/>
      </c>
      <c r="B77" s="17" t="str">
        <f>IF(C77&lt;=Rates!$O$1,B76+1,"")</f>
        <v/>
      </c>
      <c r="C77" s="17" t="str">
        <f>IF(C76&lt;Rates!$O$1,C76+1,"")</f>
        <v/>
      </c>
      <c r="D77" s="18">
        <f>IF(C77&lt;=Rates!$O$1,D76*(1+'ورود اطلاعات'!$E$8),0)</f>
        <v>0</v>
      </c>
      <c r="E77" s="18">
        <f>IF(C77&lt;=Rates!$O$1,INT(D77+E76),0)</f>
        <v>0</v>
      </c>
      <c r="F77" s="18">
        <f>IF(C77&lt;=Rates!$O$1,ROUND(F76*(1+'ورود اطلاعات'!$E$9),0),0)</f>
        <v>0</v>
      </c>
      <c r="G77" s="18">
        <f>IF(A77&lt;=5,IF(C77&lt;=Rates!$O$1,$D$3*5/100,0),0)</f>
        <v>0</v>
      </c>
      <c r="H77" s="18">
        <f>IF(A77&lt;=5,ROUND(F77*Rates!$O$9,0),0)</f>
        <v>0</v>
      </c>
      <c r="I77" s="18">
        <f>IF(C77&lt;=Rates!$O$1,D77*Rates!$O$10,0)</f>
        <v>0</v>
      </c>
      <c r="J77" s="18">
        <f>IF(C77&lt;=Rates!$O$1,F77*(VLOOKUP(C77,Rates!$A$1:$D$108,4,FALSE))/(1.1^0.5),0)</f>
        <v>0</v>
      </c>
      <c r="K77" s="18">
        <f>IF(C77&lt;=Rates!$O$1,D77-(G77+H77+I77+J77),0)</f>
        <v>0</v>
      </c>
      <c r="L77" s="18">
        <f>IF(C77&lt;=Rates!$O$1,(K77+L76)*(1+(IF(B77&lt;=2,Rates!$O$5,IF(B77&lt;=4,Rates!$O$6,Rates!$O$7)))),0)</f>
        <v>0</v>
      </c>
      <c r="M77" s="18">
        <f>IF(C77&lt;=Rates!$O$1,(B77*D77)+(D77*'ورود اطلاعات'!$E$19/12),0)</f>
        <v>0</v>
      </c>
      <c r="N77" s="18">
        <f>IF(C77&lt;=Rates!$O$1,K77*(1+IF(A77&lt;=2,Rates!$O$5,IF(A77&lt;=4,Rates!$O$6,Rates!$O$7))+(Rates!$O$8-IF(A77&lt;=2,Rates!$O$5,IF(A77&lt;=4,Rates!$O$6,Rates!$O$7)))*(VLOOKUP('ورود اطلاعات'!$E$20,Rates!$V$1:$Y$5,4,FALSE)))+N76*(1+IF(A77&lt;=2,Rates!$O$5,IF(A77&lt;=4,Rates!$O$6,Rates!$O$7))+(Rates!$O$8-IF(A77&lt;=2,Rates!$O$5,IF(A77&lt;=4,Rates!$O$6,Rates!$O$7)))),0)</f>
        <v>0</v>
      </c>
      <c r="O77" s="18">
        <f t="shared" si="2"/>
        <v>0</v>
      </c>
      <c r="P77" s="18">
        <f>IF(A77&lt;=7,VLOOKUP(A77,Rates!$K$1:$L$8,2,FALSE),1)*L77</f>
        <v>0</v>
      </c>
      <c r="Q77" s="18">
        <f>IF('ورود اطلاعات'!$E$16="بله",IF(C77&lt;=Rates!$O$4,D77*'ورود اطلاعات'!$H$16,0),0)</f>
        <v>0</v>
      </c>
      <c r="R77" s="18">
        <f>IF('ورود اطلاعات'!$E$15="بله",IF(C77&lt;=Rates!$O$3,'ورود اطلاعات'!$H$15*D77,0),0)</f>
        <v>0</v>
      </c>
      <c r="S77" s="18">
        <f>IF(AND(C77&gt;=0,C77&lt;=Rates!$O$2,F77&gt;0),MIN(S76*(1+'ورود اطلاعات'!$E$8),IF('ورود اطلاعات'!$H$22="معمولی", 300000000,5000000000)),0)</f>
        <v>0</v>
      </c>
      <c r="T77" s="18">
        <f>IF(AND(C77&lt;=Rates!$O$11,'ورود اطلاعات'!$E$16="بله"),'ورود اطلاعات'!$N$23*('Offline Table'!Q77),0)</f>
        <v>0</v>
      </c>
      <c r="U77" s="18">
        <f>IFERROR(IF(C77&lt;=Rates!$O$1,0.8/1000,0)*Q77*(1+VLOOKUP('ورود اطلاعات'!$E$25,Rates!$Q$1:$T$9,4,FALSE)/100),"")</f>
        <v>0</v>
      </c>
      <c r="V77" s="18">
        <f>IFERROR(IF(C77&lt;=Rates!$O$2,0.8/1000,0)*R77*(1+VLOOKUP('ورود اطلاعات'!$E$25,Rates!$Q$1:$T$9,4,FALSE)/100),"")</f>
        <v>0</v>
      </c>
      <c r="W77" s="18">
        <f>IF(AND(C77&lt;=Rates!$O$2,'ورود اطلاعات'!$H$22="معمولی"),VLOOKUP(C77,Rates!$A$1:$E$108,5,0),IF(AND(C77&lt;=Rates!$O$2,'ورود اطلاعات'!$H$22="پایه"),VLOOKUP(C77,Rates!$A$1:$F$108,6,0),IF(AND(C77&lt;=Rates!$O$2,'ورود اطلاعات'!$H$22="آسایش "),VLOOKUP(C77,Rates!$A$1:$G$108,7,0),IF(AND(C77&lt;=Rates!$O$2,'ورود اطلاعات'!$H$22="ممتاز"),VLOOKUP(C77,Rates!$A$1:$H$108,8,0),0))))*S77/1000000*(1+'ورود اطلاعات'!$E$22)</f>
        <v>0</v>
      </c>
      <c r="X77" s="18">
        <f>IFERROR(IF(C77&lt;=Rates!$O$11,0.8/1000*T77*(1+VLOOKUP('ورود اطلاعات'!$E$25,Rates!$Q$1:$T$9,4,FALSE)/100),0),"")</f>
        <v>0</v>
      </c>
      <c r="Y77" s="18">
        <f>(D77+U77+V77+W77+X77)*VLOOKUP('ورود اطلاعات'!$E$20,Rates!$V$1:$W$5,2,FALSE)</f>
        <v>0</v>
      </c>
      <c r="Z77" s="18">
        <f t="shared" si="3"/>
        <v>0</v>
      </c>
      <c r="AA77" s="18">
        <f>IFERROR(IF(C77&lt;=Rates!$O$1,VLOOKUP('ورود اطلاعات'!$E$20,Rates!$V$1:$X$5,3,FALSE),0),"")</f>
        <v>0</v>
      </c>
      <c r="AB77" s="18">
        <f>IFERROR(IF(C77&lt;=Rates!$O$1,(D77+Z77)/AA77,0),"")</f>
        <v>0</v>
      </c>
    </row>
    <row r="78" spans="1:28" x14ac:dyDescent="0.25">
      <c r="A78" s="17" t="str">
        <f>IF(A77&lt;&gt;"",IF(A77+1&lt;=(Rates!$O$1-'ورود اطلاعات'!$E$6),A77+1,""),"")</f>
        <v/>
      </c>
      <c r="B78" s="17" t="str">
        <f>IF(C78&lt;=Rates!$O$1,B77+1,"")</f>
        <v/>
      </c>
      <c r="C78" s="17" t="str">
        <f>IF(C77&lt;Rates!$O$1,C77+1,"")</f>
        <v/>
      </c>
      <c r="D78" s="18">
        <f>IF(C78&lt;=Rates!$O$1,D77*(1+'ورود اطلاعات'!$E$8),0)</f>
        <v>0</v>
      </c>
      <c r="E78" s="18">
        <f>IF(C78&lt;=Rates!$O$1,INT(D78+E77),0)</f>
        <v>0</v>
      </c>
      <c r="F78" s="18">
        <f>IF(C78&lt;=Rates!$O$1,ROUND(F77*(1+'ورود اطلاعات'!$E$9),0),0)</f>
        <v>0</v>
      </c>
      <c r="G78" s="18">
        <f>IF(A78&lt;=5,IF(C78&lt;=Rates!$O$1,$D$3*5/100,0),0)</f>
        <v>0</v>
      </c>
      <c r="H78" s="18">
        <f>IF(A78&lt;=5,ROUND(F78*Rates!$O$9,0),0)</f>
        <v>0</v>
      </c>
      <c r="I78" s="18">
        <f>IF(C78&lt;=Rates!$O$1,D78*Rates!$O$10,0)</f>
        <v>0</v>
      </c>
      <c r="J78" s="18">
        <f>IF(C78&lt;=Rates!$O$1,F78*(VLOOKUP(C78,Rates!$A$1:$D$108,4,FALSE))/(1.1^0.5),0)</f>
        <v>0</v>
      </c>
      <c r="K78" s="18">
        <f>IF(C78&lt;=Rates!$O$1,D78-(G78+H78+I78+J78),0)</f>
        <v>0</v>
      </c>
      <c r="L78" s="18">
        <f>IF(C78&lt;=Rates!$O$1,(K78+L77)*(1+(IF(B78&lt;=2,Rates!$O$5,IF(B78&lt;=4,Rates!$O$6,Rates!$O$7)))),0)</f>
        <v>0</v>
      </c>
      <c r="M78" s="18">
        <f>IF(C78&lt;=Rates!$O$1,(B78*D78)+(D78*'ورود اطلاعات'!$E$19/12),0)</f>
        <v>0</v>
      </c>
      <c r="N78" s="18">
        <f>IF(C78&lt;=Rates!$O$1,K78*(1+IF(A78&lt;=2,Rates!$O$5,IF(A78&lt;=4,Rates!$O$6,Rates!$O$7))+(Rates!$O$8-IF(A78&lt;=2,Rates!$O$5,IF(A78&lt;=4,Rates!$O$6,Rates!$O$7)))*(VLOOKUP('ورود اطلاعات'!$E$20,Rates!$V$1:$Y$5,4,FALSE)))+N77*(1+IF(A78&lt;=2,Rates!$O$5,IF(A78&lt;=4,Rates!$O$6,Rates!$O$7))+(Rates!$O$8-IF(A78&lt;=2,Rates!$O$5,IF(A78&lt;=4,Rates!$O$6,Rates!$O$7)))),0)</f>
        <v>0</v>
      </c>
      <c r="O78" s="18">
        <f t="shared" si="2"/>
        <v>0</v>
      </c>
      <c r="P78" s="18">
        <f>IF(A78&lt;=7,VLOOKUP(A78,Rates!$K$1:$L$8,2,FALSE),1)*L78</f>
        <v>0</v>
      </c>
      <c r="Q78" s="18">
        <f>IF('ورود اطلاعات'!$E$16="بله",IF(C78&lt;=Rates!$O$4,D78*'ورود اطلاعات'!$H$16,0),0)</f>
        <v>0</v>
      </c>
      <c r="R78" s="18">
        <f>IF('ورود اطلاعات'!$E$15="بله",IF(C78&lt;=Rates!$O$3,'ورود اطلاعات'!$H$15*D78,0),0)</f>
        <v>0</v>
      </c>
      <c r="S78" s="18">
        <f>IF(AND(C78&gt;=0,C78&lt;=Rates!$O$2,F78&gt;0),MIN(S77*(1+'ورود اطلاعات'!$E$8),IF('ورود اطلاعات'!$H$22="معمولی", 300000000,5000000000)),0)</f>
        <v>0</v>
      </c>
      <c r="T78" s="18">
        <f>IF(AND(C78&lt;=Rates!$O$11,'ورود اطلاعات'!$E$16="بله"),'ورود اطلاعات'!$N$23*('Offline Table'!Q78),0)</f>
        <v>0</v>
      </c>
      <c r="U78" s="18">
        <f>IFERROR(IF(C78&lt;=Rates!$O$1,0.8/1000,0)*Q78*(1+VLOOKUP('ورود اطلاعات'!$E$25,Rates!$Q$1:$T$9,4,FALSE)/100),"")</f>
        <v>0</v>
      </c>
      <c r="V78" s="18">
        <f>IFERROR(IF(C78&lt;=Rates!$O$2,0.8/1000,0)*R78*(1+VLOOKUP('ورود اطلاعات'!$E$25,Rates!$Q$1:$T$9,4,FALSE)/100),"")</f>
        <v>0</v>
      </c>
      <c r="W78" s="18">
        <f>IF(AND(C78&lt;=Rates!$O$2,'ورود اطلاعات'!$H$22="معمولی"),VLOOKUP(C78,Rates!$A$1:$E$108,5,0),IF(AND(C78&lt;=Rates!$O$2,'ورود اطلاعات'!$H$22="پایه"),VLOOKUP(C78,Rates!$A$1:$F$108,6,0),IF(AND(C78&lt;=Rates!$O$2,'ورود اطلاعات'!$H$22="آسایش "),VLOOKUP(C78,Rates!$A$1:$G$108,7,0),IF(AND(C78&lt;=Rates!$O$2,'ورود اطلاعات'!$H$22="ممتاز"),VLOOKUP(C78,Rates!$A$1:$H$108,8,0),0))))*S78/1000000*(1+'ورود اطلاعات'!$E$22)</f>
        <v>0</v>
      </c>
      <c r="X78" s="18">
        <f>IFERROR(IF(C78&lt;=Rates!$O$11,0.8/1000*T78*(1+VLOOKUP('ورود اطلاعات'!$E$25,Rates!$Q$1:$T$9,4,FALSE)/100),0),"")</f>
        <v>0</v>
      </c>
      <c r="Y78" s="18">
        <f>(D78+U78+V78+W78+X78)*VLOOKUP('ورود اطلاعات'!$E$20,Rates!$V$1:$W$5,2,FALSE)</f>
        <v>0</v>
      </c>
      <c r="Z78" s="18">
        <f t="shared" si="3"/>
        <v>0</v>
      </c>
      <c r="AA78" s="18">
        <f>IFERROR(IF(C78&lt;=Rates!$O$1,VLOOKUP('ورود اطلاعات'!$E$20,Rates!$V$1:$X$5,3,FALSE),0),"")</f>
        <v>0</v>
      </c>
      <c r="AB78" s="18">
        <f>IFERROR(IF(C78&lt;=Rates!$O$1,(D78+Z78)/AA78,0),"")</f>
        <v>0</v>
      </c>
    </row>
    <row r="79" spans="1:28" x14ac:dyDescent="0.25">
      <c r="A79" s="17" t="str">
        <f>IF(A78&lt;&gt;"",IF(A78+1&lt;=(Rates!$O$1-'ورود اطلاعات'!$E$6),A78+1,""),"")</f>
        <v/>
      </c>
      <c r="B79" s="17" t="str">
        <f>IF(C79&lt;=Rates!$O$1,B78+1,"")</f>
        <v/>
      </c>
      <c r="C79" s="17" t="str">
        <f>IF(C78&lt;Rates!$O$1,C78+1,"")</f>
        <v/>
      </c>
      <c r="D79" s="18">
        <f>IF(C79&lt;=Rates!$O$1,D78*(1+'ورود اطلاعات'!$E$8),0)</f>
        <v>0</v>
      </c>
      <c r="E79" s="18">
        <f>IF(C79&lt;=Rates!$O$1,INT(D79+E78),0)</f>
        <v>0</v>
      </c>
      <c r="F79" s="18">
        <f>IF(C79&lt;=Rates!$O$1,ROUND(F78*(1+'ورود اطلاعات'!$E$9),0),0)</f>
        <v>0</v>
      </c>
      <c r="G79" s="18">
        <f>IF(A79&lt;=5,IF(C79&lt;=Rates!$O$1,$D$3*5/100,0),0)</f>
        <v>0</v>
      </c>
      <c r="H79" s="18">
        <f>IF(A79&lt;=5,ROUND(F79*Rates!$O$9,0),0)</f>
        <v>0</v>
      </c>
      <c r="I79" s="18">
        <f>IF(C79&lt;=Rates!$O$1,D79*Rates!$O$10,0)</f>
        <v>0</v>
      </c>
      <c r="J79" s="18">
        <f>IF(C79&lt;=Rates!$O$1,F79*(VLOOKUP(C79,Rates!$A$1:$D$108,4,FALSE))/(1.1^0.5),0)</f>
        <v>0</v>
      </c>
      <c r="K79" s="18">
        <f>IF(C79&lt;=Rates!$O$1,D79-(G79+H79+I79+J79),0)</f>
        <v>0</v>
      </c>
      <c r="L79" s="18">
        <f>IF(C79&lt;=Rates!$O$1,(K79+L78)*(1+(IF(B79&lt;=2,Rates!$O$5,IF(B79&lt;=4,Rates!$O$6,Rates!$O$7)))),0)</f>
        <v>0</v>
      </c>
      <c r="M79" s="18">
        <f>IF(C79&lt;=Rates!$O$1,(B79*D79)+(D79*'ورود اطلاعات'!$E$19/12),0)</f>
        <v>0</v>
      </c>
      <c r="N79" s="18">
        <f>IF(C79&lt;=Rates!$O$1,K79*(1+IF(A79&lt;=2,Rates!$O$5,IF(A79&lt;=4,Rates!$O$6,Rates!$O$7))+(Rates!$O$8-IF(A79&lt;=2,Rates!$O$5,IF(A79&lt;=4,Rates!$O$6,Rates!$O$7)))*(VLOOKUP('ورود اطلاعات'!$E$20,Rates!$V$1:$Y$5,4,FALSE)))+N78*(1+IF(A79&lt;=2,Rates!$O$5,IF(A79&lt;=4,Rates!$O$6,Rates!$O$7))+(Rates!$O$8-IF(A79&lt;=2,Rates!$O$5,IF(A79&lt;=4,Rates!$O$6,Rates!$O$7)))),0)</f>
        <v>0</v>
      </c>
      <c r="O79" s="18">
        <f t="shared" si="2"/>
        <v>0</v>
      </c>
      <c r="P79" s="18">
        <f>IF(A79&lt;=7,VLOOKUP(A79,Rates!$K$1:$L$8,2,FALSE),1)*L79</f>
        <v>0</v>
      </c>
      <c r="Q79" s="18">
        <f>IF('ورود اطلاعات'!$E$16="بله",IF(C79&lt;=Rates!$O$4,D79*'ورود اطلاعات'!$H$16,0),0)</f>
        <v>0</v>
      </c>
      <c r="R79" s="18">
        <f>IF('ورود اطلاعات'!$E$15="بله",IF(C79&lt;=Rates!$O$3,'ورود اطلاعات'!$H$15*D79,0),0)</f>
        <v>0</v>
      </c>
      <c r="S79" s="18">
        <f>IF(AND(C79&gt;=0,C79&lt;=Rates!$O$2,F79&gt;0),MIN(S78*(1+'ورود اطلاعات'!$E$8),IF('ورود اطلاعات'!$H$22="معمولی", 300000000,5000000000)),0)</f>
        <v>0</v>
      </c>
      <c r="T79" s="18">
        <f>IF(AND(C79&lt;=Rates!$O$11,'ورود اطلاعات'!$E$16="بله"),'ورود اطلاعات'!$N$23*('Offline Table'!Q79),0)</f>
        <v>0</v>
      </c>
      <c r="U79" s="18">
        <f>IFERROR(IF(C79&lt;=Rates!$O$1,0.8/1000,0)*Q79*(1+VLOOKUP('ورود اطلاعات'!$E$25,Rates!$Q$1:$T$9,4,FALSE)/100),"")</f>
        <v>0</v>
      </c>
      <c r="V79" s="18">
        <f>IFERROR(IF(C79&lt;=Rates!$O$2,0.8/1000,0)*R79*(1+VLOOKUP('ورود اطلاعات'!$E$25,Rates!$Q$1:$T$9,4,FALSE)/100),"")</f>
        <v>0</v>
      </c>
      <c r="W79" s="18">
        <f>IF(AND(C79&lt;=Rates!$O$2,'ورود اطلاعات'!$H$22="معمولی"),VLOOKUP(C79,Rates!$A$1:$E$108,5,0),IF(AND(C79&lt;=Rates!$O$2,'ورود اطلاعات'!$H$22="پایه"),VLOOKUP(C79,Rates!$A$1:$F$108,6,0),IF(AND(C79&lt;=Rates!$O$2,'ورود اطلاعات'!$H$22="آسایش "),VLOOKUP(C79,Rates!$A$1:$G$108,7,0),IF(AND(C79&lt;=Rates!$O$2,'ورود اطلاعات'!$H$22="ممتاز"),VLOOKUP(C79,Rates!$A$1:$H$108,8,0),0))))*S79/1000000*(1+'ورود اطلاعات'!$E$22)</f>
        <v>0</v>
      </c>
      <c r="X79" s="18">
        <f>IFERROR(IF(C79&lt;=Rates!$O$11,0.8/1000*T79*(1+VLOOKUP('ورود اطلاعات'!$E$25,Rates!$Q$1:$T$9,4,FALSE)/100),0),"")</f>
        <v>0</v>
      </c>
      <c r="Y79" s="18">
        <f>(D79+U79+V79+W79+X79)*VLOOKUP('ورود اطلاعات'!$E$20,Rates!$V$1:$W$5,2,FALSE)</f>
        <v>0</v>
      </c>
      <c r="Z79" s="18">
        <f t="shared" si="3"/>
        <v>0</v>
      </c>
      <c r="AA79" s="18">
        <f>IFERROR(IF(C79&lt;=Rates!$O$1,VLOOKUP('ورود اطلاعات'!$E$20,Rates!$V$1:$X$5,3,FALSE),0),"")</f>
        <v>0</v>
      </c>
      <c r="AB79" s="18">
        <f>IFERROR(IF(C79&lt;=Rates!$O$1,(D79+Z79)/AA79,0),"")</f>
        <v>0</v>
      </c>
    </row>
    <row r="80" spans="1:28" x14ac:dyDescent="0.25">
      <c r="A80" s="17" t="str">
        <f>IF(A79&lt;&gt;"",IF(A79+1&lt;=(Rates!$O$1-'ورود اطلاعات'!$E$6),A79+1,""),"")</f>
        <v/>
      </c>
      <c r="B80" s="17" t="str">
        <f>IF(C80&lt;=Rates!$O$1,B79+1,"")</f>
        <v/>
      </c>
      <c r="C80" s="17" t="str">
        <f>IF(C79&lt;Rates!$O$1,C79+1,"")</f>
        <v/>
      </c>
      <c r="D80" s="18">
        <f>IF(C80&lt;=Rates!$O$1,D79*(1+'ورود اطلاعات'!$E$8),0)</f>
        <v>0</v>
      </c>
      <c r="E80" s="18">
        <f>IF(C80&lt;=Rates!$O$1,INT(D80+E79),0)</f>
        <v>0</v>
      </c>
      <c r="F80" s="18">
        <f>IF(C80&lt;=Rates!$O$1,ROUND(F79*(1+'ورود اطلاعات'!$E$9),0),0)</f>
        <v>0</v>
      </c>
      <c r="G80" s="18">
        <f>IF(A80&lt;=5,IF(C80&lt;=Rates!$O$1,$D$3*5/100,0),0)</f>
        <v>0</v>
      </c>
      <c r="H80" s="18">
        <f>IF(A80&lt;=5,ROUND(F80*Rates!$O$9,0),0)</f>
        <v>0</v>
      </c>
      <c r="I80" s="18">
        <f>IF(C80&lt;=Rates!$O$1,D80*Rates!$O$10,0)</f>
        <v>0</v>
      </c>
      <c r="J80" s="18">
        <f>IF(C80&lt;=Rates!$O$1,F80*(VLOOKUP(C80,Rates!$A$1:$D$108,4,FALSE))/(1.1^0.5),0)</f>
        <v>0</v>
      </c>
      <c r="K80" s="18">
        <f>IF(C80&lt;=Rates!$O$1,D80-(G80+H80+I80+J80),0)</f>
        <v>0</v>
      </c>
      <c r="L80" s="18">
        <f>IF(C80&lt;=Rates!$O$1,(K80+L79)*(1+(IF(B80&lt;=2,Rates!$O$5,IF(B80&lt;=4,Rates!$O$6,Rates!$O$7)))),0)</f>
        <v>0</v>
      </c>
      <c r="M80" s="18">
        <f>IF(C80&lt;=Rates!$O$1,(B80*D80)+(D80*'ورود اطلاعات'!$E$19/12),0)</f>
        <v>0</v>
      </c>
      <c r="N80" s="18">
        <f>IF(C80&lt;=Rates!$O$1,K80*(1+IF(A80&lt;=2,Rates!$O$5,IF(A80&lt;=4,Rates!$O$6,Rates!$O$7))+(Rates!$O$8-IF(A80&lt;=2,Rates!$O$5,IF(A80&lt;=4,Rates!$O$6,Rates!$O$7)))*(VLOOKUP('ورود اطلاعات'!$E$20,Rates!$V$1:$Y$5,4,FALSE)))+N79*(1+IF(A80&lt;=2,Rates!$O$5,IF(A80&lt;=4,Rates!$O$6,Rates!$O$7))+(Rates!$O$8-IF(A80&lt;=2,Rates!$O$5,IF(A80&lt;=4,Rates!$O$6,Rates!$O$7)))),0)</f>
        <v>0</v>
      </c>
      <c r="O80" s="18">
        <f t="shared" si="2"/>
        <v>0</v>
      </c>
      <c r="P80" s="18">
        <f>IF(A80&lt;=7,VLOOKUP(A80,Rates!$K$1:$L$8,2,FALSE),1)*L80</f>
        <v>0</v>
      </c>
      <c r="Q80" s="18">
        <f>IF('ورود اطلاعات'!$E$16="بله",IF(C80&lt;=Rates!$O$4,D80*'ورود اطلاعات'!$H$16,0),0)</f>
        <v>0</v>
      </c>
      <c r="R80" s="18">
        <f>IF('ورود اطلاعات'!$E$15="بله",IF(C80&lt;=Rates!$O$3,'ورود اطلاعات'!$H$15*D80,0),0)</f>
        <v>0</v>
      </c>
      <c r="S80" s="18">
        <f>IF(AND(C80&gt;=0,C80&lt;=Rates!$O$2,F80&gt;0),MIN(S79*(1+'ورود اطلاعات'!$E$8),IF('ورود اطلاعات'!$H$22="معمولی", 300000000,5000000000)),0)</f>
        <v>0</v>
      </c>
      <c r="T80" s="18">
        <f>IF(AND(C80&lt;=Rates!$O$11,'ورود اطلاعات'!$E$16="بله"),'ورود اطلاعات'!$N$23*('Offline Table'!Q80),0)</f>
        <v>0</v>
      </c>
      <c r="U80" s="18">
        <f>IFERROR(IF(C80&lt;=Rates!$O$1,0.8/1000,0)*Q80*(1+VLOOKUP('ورود اطلاعات'!$E$25,Rates!$Q$1:$T$9,4,FALSE)/100),"")</f>
        <v>0</v>
      </c>
      <c r="V80" s="18">
        <f>IFERROR(IF(C80&lt;=Rates!$O$2,0.8/1000,0)*R80*(1+VLOOKUP('ورود اطلاعات'!$E$25,Rates!$Q$1:$T$9,4,FALSE)/100),"")</f>
        <v>0</v>
      </c>
      <c r="W80" s="18">
        <f>IF(AND(C80&lt;=Rates!$O$2,'ورود اطلاعات'!$H$22="معمولی"),VLOOKUP(C80,Rates!$A$1:$E$108,5,0),IF(AND(C80&lt;=Rates!$O$2,'ورود اطلاعات'!$H$22="پایه"),VLOOKUP(C80,Rates!$A$1:$F$108,6,0),IF(AND(C80&lt;=Rates!$O$2,'ورود اطلاعات'!$H$22="آسایش "),VLOOKUP(C80,Rates!$A$1:$G$108,7,0),IF(AND(C80&lt;=Rates!$O$2,'ورود اطلاعات'!$H$22="ممتاز"),VLOOKUP(C80,Rates!$A$1:$H$108,8,0),0))))*S80/1000000*(1+'ورود اطلاعات'!$E$22)</f>
        <v>0</v>
      </c>
      <c r="X80" s="18">
        <f>IFERROR(IF(C80&lt;=Rates!$O$11,0.8/1000*T80*(1+VLOOKUP('ورود اطلاعات'!$E$25,Rates!$Q$1:$T$9,4,FALSE)/100),0),"")</f>
        <v>0</v>
      </c>
      <c r="Y80" s="18">
        <f>(D80+U80+V80+W80+X80)*VLOOKUP('ورود اطلاعات'!$E$20,Rates!$V$1:$W$5,2,FALSE)</f>
        <v>0</v>
      </c>
      <c r="Z80" s="18">
        <f t="shared" si="3"/>
        <v>0</v>
      </c>
      <c r="AA80" s="18">
        <f>IFERROR(IF(C80&lt;=Rates!$O$1,VLOOKUP('ورود اطلاعات'!$E$20,Rates!$V$1:$X$5,3,FALSE),0),"")</f>
        <v>0</v>
      </c>
      <c r="AB80" s="18">
        <f>IFERROR(IF(C80&lt;=Rates!$O$1,(D80+Z80)/AA80,0),"")</f>
        <v>0</v>
      </c>
    </row>
    <row r="81" spans="1:28" x14ac:dyDescent="0.25">
      <c r="A81" s="17" t="str">
        <f>IF(A80&lt;&gt;"",IF(A80+1&lt;=(Rates!$O$1-'ورود اطلاعات'!$E$6),A80+1,""),"")</f>
        <v/>
      </c>
      <c r="B81" s="17" t="str">
        <f>IF(C81&lt;=Rates!$O$1,B80+1,"")</f>
        <v/>
      </c>
      <c r="C81" s="17" t="str">
        <f>IF(C80&lt;Rates!$O$1,C80+1,"")</f>
        <v/>
      </c>
      <c r="D81" s="18">
        <f>IF(C81&lt;=Rates!$O$1,D80*(1+'ورود اطلاعات'!$E$8),0)</f>
        <v>0</v>
      </c>
      <c r="E81" s="18">
        <f>IF(C81&lt;=Rates!$O$1,INT(D81+E80),0)</f>
        <v>0</v>
      </c>
      <c r="F81" s="18">
        <f>IF(C81&lt;=Rates!$O$1,ROUND(F80*(1+'ورود اطلاعات'!$E$9),0),0)</f>
        <v>0</v>
      </c>
      <c r="G81" s="18">
        <f>IF(A81&lt;=5,IF(C81&lt;=Rates!$O$1,$D$3*5/100,0),0)</f>
        <v>0</v>
      </c>
      <c r="H81" s="18">
        <f>IF(A81&lt;=5,ROUND(F81*Rates!$O$9,0),0)</f>
        <v>0</v>
      </c>
      <c r="I81" s="18">
        <f>IF(C81&lt;=Rates!$O$1,D81*Rates!$O$10,0)</f>
        <v>0</v>
      </c>
      <c r="J81" s="18">
        <f>IF(C81&lt;=Rates!$O$1,F81*(VLOOKUP(C81,Rates!$A$1:$D$108,4,FALSE))/(1.1^0.5),0)</f>
        <v>0</v>
      </c>
      <c r="K81" s="18">
        <f>IF(C81&lt;=Rates!$O$1,D81-(G81+H81+I81+J81),0)</f>
        <v>0</v>
      </c>
      <c r="L81" s="18">
        <f>IF(C81&lt;=Rates!$O$1,(K81+L80)*(1+(IF(B81&lt;=2,Rates!$O$5,IF(B81&lt;=4,Rates!$O$6,Rates!$O$7)))),0)</f>
        <v>0</v>
      </c>
      <c r="M81" s="18">
        <f>IF(C81&lt;=Rates!$O$1,(B81*D81)+(D81*'ورود اطلاعات'!$E$19/12),0)</f>
        <v>0</v>
      </c>
      <c r="N81" s="18">
        <f>IF(C81&lt;=Rates!$O$1,K81*(1+IF(A81&lt;=2,Rates!$O$5,IF(A81&lt;=4,Rates!$O$6,Rates!$O$7))+(Rates!$O$8-IF(A81&lt;=2,Rates!$O$5,IF(A81&lt;=4,Rates!$O$6,Rates!$O$7)))*(VLOOKUP('ورود اطلاعات'!$E$20,Rates!$V$1:$Y$5,4,FALSE)))+N80*(1+IF(A81&lt;=2,Rates!$O$5,IF(A81&lt;=4,Rates!$O$6,Rates!$O$7))+(Rates!$O$8-IF(A81&lt;=2,Rates!$O$5,IF(A81&lt;=4,Rates!$O$6,Rates!$O$7)))),0)</f>
        <v>0</v>
      </c>
      <c r="O81" s="18">
        <f t="shared" si="2"/>
        <v>0</v>
      </c>
      <c r="P81" s="18">
        <f>IF(A81&lt;=7,VLOOKUP(A81,Rates!$K$1:$L$8,2,FALSE),1)*L81</f>
        <v>0</v>
      </c>
      <c r="Q81" s="18">
        <f>IF('ورود اطلاعات'!$E$16="بله",IF(C81&lt;=Rates!$O$4,D81*'ورود اطلاعات'!$H$16,0),0)</f>
        <v>0</v>
      </c>
      <c r="R81" s="18">
        <f>IF('ورود اطلاعات'!$E$15="بله",IF(C81&lt;=Rates!$O$3,'ورود اطلاعات'!$H$15*D81,0),0)</f>
        <v>0</v>
      </c>
      <c r="S81" s="18">
        <f>IF(AND(C81&gt;=0,C81&lt;=Rates!$O$2,F81&gt;0),MIN(S80*(1+'ورود اطلاعات'!$E$8),IF('ورود اطلاعات'!$H$22="معمولی", 300000000,5000000000)),0)</f>
        <v>0</v>
      </c>
      <c r="T81" s="18">
        <f>IF(AND(C81&lt;=Rates!$O$11,'ورود اطلاعات'!$E$16="بله"),'ورود اطلاعات'!$N$23*('Offline Table'!Q81),0)</f>
        <v>0</v>
      </c>
      <c r="U81" s="18">
        <f>IFERROR(IF(C81&lt;=Rates!$O$1,0.8/1000,0)*Q81*(1+VLOOKUP('ورود اطلاعات'!$E$25,Rates!$Q$1:$T$9,4,FALSE)/100),"")</f>
        <v>0</v>
      </c>
      <c r="V81" s="18">
        <f>IFERROR(IF(C81&lt;=Rates!$O$2,0.8/1000,0)*R81*(1+VLOOKUP('ورود اطلاعات'!$E$25,Rates!$Q$1:$T$9,4,FALSE)/100),"")</f>
        <v>0</v>
      </c>
      <c r="W81" s="18">
        <f>IF(AND(C81&lt;=Rates!$O$2,'ورود اطلاعات'!$H$22="معمولی"),VLOOKUP(C81,Rates!$A$1:$E$108,5,0),IF(AND(C81&lt;=Rates!$O$2,'ورود اطلاعات'!$H$22="پایه"),VLOOKUP(C81,Rates!$A$1:$F$108,6,0),IF(AND(C81&lt;=Rates!$O$2,'ورود اطلاعات'!$H$22="آسایش "),VLOOKUP(C81,Rates!$A$1:$G$108,7,0),IF(AND(C81&lt;=Rates!$O$2,'ورود اطلاعات'!$H$22="ممتاز"),VLOOKUP(C81,Rates!$A$1:$H$108,8,0),0))))*S81/1000000*(1+'ورود اطلاعات'!$E$22)</f>
        <v>0</v>
      </c>
      <c r="X81" s="18">
        <f>IFERROR(IF(C81&lt;=Rates!$O$11,0.8/1000*T81*(1+VLOOKUP('ورود اطلاعات'!$E$25,Rates!$Q$1:$T$9,4,FALSE)/100),0),"")</f>
        <v>0</v>
      </c>
      <c r="Y81" s="18">
        <f>(D81+U81+V81+W81+X81)*VLOOKUP('ورود اطلاعات'!$E$20,Rates!$V$1:$W$5,2,FALSE)</f>
        <v>0</v>
      </c>
      <c r="Z81" s="18">
        <f t="shared" si="3"/>
        <v>0</v>
      </c>
      <c r="AA81" s="18">
        <f>IFERROR(IF(C81&lt;=Rates!$O$1,VLOOKUP('ورود اطلاعات'!$E$20,Rates!$V$1:$X$5,3,FALSE),0),"")</f>
        <v>0</v>
      </c>
      <c r="AB81" s="18">
        <f>IFERROR(IF(C81&lt;=Rates!$O$1,(D81+Z81)/AA81,0),"")</f>
        <v>0</v>
      </c>
    </row>
    <row r="82" spans="1:28" x14ac:dyDescent="0.25">
      <c r="A82" s="17" t="str">
        <f>IF(A81&lt;&gt;"",IF(A81+1&lt;=(Rates!$O$1-'ورود اطلاعات'!$E$6),A81+1,""),"")</f>
        <v/>
      </c>
      <c r="B82" s="17" t="str">
        <f>IF(C82&lt;=Rates!$O$1,B81+1,"")</f>
        <v/>
      </c>
      <c r="C82" s="17" t="str">
        <f>IF(C81&lt;Rates!$O$1,C81+1,"")</f>
        <v/>
      </c>
      <c r="D82" s="18">
        <f>IF(C82&lt;=Rates!$O$1,D81*(1+'ورود اطلاعات'!$E$8),0)</f>
        <v>0</v>
      </c>
      <c r="E82" s="18">
        <f>IF(C82&lt;=Rates!$O$1,INT(D82+E81),0)</f>
        <v>0</v>
      </c>
      <c r="F82" s="18">
        <f>IF(C82&lt;=Rates!$O$1,ROUND(F81*(1+'ورود اطلاعات'!$E$9),0),0)</f>
        <v>0</v>
      </c>
      <c r="G82" s="18">
        <f>IF(A82&lt;=5,IF(C82&lt;=Rates!$O$1,$D$3*5/100,0),0)</f>
        <v>0</v>
      </c>
      <c r="H82" s="18">
        <f>IF(A82&lt;=5,ROUND(F82*Rates!$O$9,0),0)</f>
        <v>0</v>
      </c>
      <c r="I82" s="18">
        <f>IF(C82&lt;=Rates!$O$1,D82*Rates!$O$10,0)</f>
        <v>0</v>
      </c>
      <c r="J82" s="18">
        <f>IF(C82&lt;=Rates!$O$1,F82*(VLOOKUP(C82,Rates!$A$1:$D$108,4,FALSE))/(1.1^0.5),0)</f>
        <v>0</v>
      </c>
      <c r="K82" s="18">
        <f>IF(C82&lt;=Rates!$O$1,D82-(G82+H82+I82+J82),0)</f>
        <v>0</v>
      </c>
      <c r="L82" s="18">
        <f>IF(C82&lt;=Rates!$O$1,(K82+L81)*(1+(IF(B82&lt;=2,Rates!$O$5,IF(B82&lt;=4,Rates!$O$6,Rates!$O$7)))),0)</f>
        <v>0</v>
      </c>
      <c r="M82" s="18">
        <f>IF(C82&lt;=Rates!$O$1,(B82*D82)+(D82*'ورود اطلاعات'!$E$19/12),0)</f>
        <v>0</v>
      </c>
      <c r="N82" s="18">
        <f>IF(C82&lt;=Rates!$O$1,K82*(1+IF(A82&lt;=2,Rates!$O$5,IF(A82&lt;=4,Rates!$O$6,Rates!$O$7))+(Rates!$O$8-IF(A82&lt;=2,Rates!$O$5,IF(A82&lt;=4,Rates!$O$6,Rates!$O$7)))*(VLOOKUP('ورود اطلاعات'!$E$20,Rates!$V$1:$Y$5,4,FALSE)))+N81*(1+IF(A82&lt;=2,Rates!$O$5,IF(A82&lt;=4,Rates!$O$6,Rates!$O$7))+(Rates!$O$8-IF(A82&lt;=2,Rates!$O$5,IF(A82&lt;=4,Rates!$O$6,Rates!$O$7)))),0)</f>
        <v>0</v>
      </c>
      <c r="O82" s="18">
        <f t="shared" si="2"/>
        <v>0</v>
      </c>
      <c r="P82" s="18">
        <f>IF(A82&lt;=7,VLOOKUP(A82,Rates!$K$1:$L$8,2,FALSE),1)*L82</f>
        <v>0</v>
      </c>
      <c r="Q82" s="18">
        <f>IF('ورود اطلاعات'!$E$16="بله",IF(C82&lt;=Rates!$O$4,D82*'ورود اطلاعات'!$H$16,0),0)</f>
        <v>0</v>
      </c>
      <c r="R82" s="18">
        <f>IF('ورود اطلاعات'!$E$15="بله",IF(C82&lt;=Rates!$O$3,'ورود اطلاعات'!$H$15*D82,0),0)</f>
        <v>0</v>
      </c>
      <c r="S82" s="18">
        <f>IF(AND(C82&gt;=0,C82&lt;=Rates!$O$2,F82&gt;0),MIN(S81*(1+'ورود اطلاعات'!$E$8),IF('ورود اطلاعات'!$H$22="معمولی", 300000000,5000000000)),0)</f>
        <v>0</v>
      </c>
      <c r="T82" s="18">
        <f>IF(AND(C82&lt;=Rates!$O$11,'ورود اطلاعات'!$E$16="بله"),'ورود اطلاعات'!$N$23*('Offline Table'!Q82),0)</f>
        <v>0</v>
      </c>
      <c r="U82" s="18">
        <f>IFERROR(IF(C82&lt;=Rates!$O$1,0.8/1000,0)*Q82*(1+VLOOKUP('ورود اطلاعات'!$E$25,Rates!$Q$1:$T$9,4,FALSE)/100),"")</f>
        <v>0</v>
      </c>
      <c r="V82" s="18">
        <f>IFERROR(IF(C82&lt;=Rates!$O$2,0.8/1000,0)*R82*(1+VLOOKUP('ورود اطلاعات'!$E$25,Rates!$Q$1:$T$9,4,FALSE)/100),"")</f>
        <v>0</v>
      </c>
      <c r="W82" s="18">
        <f>IF(AND(C82&lt;=Rates!$O$2,'ورود اطلاعات'!$H$22="معمولی"),VLOOKUP(C82,Rates!$A$1:$E$108,5,0),IF(AND(C82&lt;=Rates!$O$2,'ورود اطلاعات'!$H$22="پایه"),VLOOKUP(C82,Rates!$A$1:$F$108,6,0),IF(AND(C82&lt;=Rates!$O$2,'ورود اطلاعات'!$H$22="آسایش "),VLOOKUP(C82,Rates!$A$1:$G$108,7,0),IF(AND(C82&lt;=Rates!$O$2,'ورود اطلاعات'!$H$22="ممتاز"),VLOOKUP(C82,Rates!$A$1:$H$108,8,0),0))))*S82/1000000*(1+'ورود اطلاعات'!$E$22)</f>
        <v>0</v>
      </c>
      <c r="X82" s="18">
        <f>IFERROR(IF(C82&lt;=Rates!$O$11,0.8/1000*T82*(1+VLOOKUP('ورود اطلاعات'!$E$25,Rates!$Q$1:$T$9,4,FALSE)/100),0),"")</f>
        <v>0</v>
      </c>
      <c r="Y82" s="18">
        <f>(D82+U82+V82+W82+X82)*VLOOKUP('ورود اطلاعات'!$E$20,Rates!$V$1:$W$5,2,FALSE)</f>
        <v>0</v>
      </c>
      <c r="Z82" s="18">
        <f t="shared" si="3"/>
        <v>0</v>
      </c>
      <c r="AA82" s="18">
        <f>IFERROR(IF(C82&lt;=Rates!$O$1,VLOOKUP('ورود اطلاعات'!$E$20,Rates!$V$1:$X$5,3,FALSE),0),"")</f>
        <v>0</v>
      </c>
      <c r="AB82" s="18">
        <f>IFERROR(IF(C82&lt;=Rates!$O$1,(D82+Z82)/AA82,0),"")</f>
        <v>0</v>
      </c>
    </row>
  </sheetData>
  <sheetProtection algorithmName="SHA-512" hashValue="K6GZgIPdcxuu08+0smJrOzsGLLXEKJCF8zC8xEcQpwX3/VXKCbWCnFOZMOskkmeIw1MognM0HKJPCT4NVWv5SQ==" saltValue="pJP0QxcSsJkW7u9V9+w+8Q==" spinCount="100000" sheet="1" objects="1" scenarios="1"/>
  <mergeCells count="1">
    <mergeCell ref="A1:AB1"/>
  </mergeCell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7</vt:i4>
      </vt:variant>
    </vt:vector>
  </HeadingPairs>
  <TitlesOfParts>
    <vt:vector size="12" baseType="lpstr">
      <vt:lpstr>صفحه امضا</vt:lpstr>
      <vt:lpstr>ورود اطلاعات</vt:lpstr>
      <vt:lpstr>جدول سنوات بازنشستگی</vt:lpstr>
      <vt:lpstr>Rates</vt:lpstr>
      <vt:lpstr>Offline Table</vt:lpstr>
      <vt:lpstr>'جدول سنوات بازنشستگی'!Print_Area</vt:lpstr>
      <vt:lpstr>'ورود اطلاعات'!Print_Area</vt:lpstr>
      <vt:lpstr>پرريسک</vt:lpstr>
      <vt:lpstr>رشد</vt:lpstr>
      <vt:lpstr>رشد1</vt:lpstr>
      <vt:lpstr>کم_ريسک</vt:lpstr>
      <vt:lpstr>متوسط_ريسک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2024-02-14T12:55:35Z</dcterms:modified>
</cp:coreProperties>
</file>